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40" windowHeight="12795" tabRatio="592" activeTab="1"/>
  </bookViews>
  <sheets>
    <sheet name="Carichi Unitari" sheetId="14" r:id="rId1"/>
    <sheet name="Masse e Forze" sheetId="2" r:id="rId2"/>
    <sheet name="C. Sollecitazione" sheetId="3" r:id="rId3"/>
    <sheet name="Dimensionamento t+6" sheetId="5" r:id="rId4"/>
    <sheet name="Rig_tip_pilastro" sheetId="11" r:id="rId5"/>
    <sheet name="Periodo proprio" sheetId="9" r:id="rId6"/>
  </sheets>
  <externalReferences>
    <externalReference r:id="rId7"/>
    <externalReference r:id="rId8"/>
  </externalReferences>
  <calcPr calcId="124519"/>
  <fileRecoveryPr autoRecover="0"/>
</workbook>
</file>

<file path=xl/calcChain.xml><?xml version="1.0" encoding="utf-8"?>
<calcChain xmlns="http://schemas.openxmlformats.org/spreadsheetml/2006/main">
  <c r="C3" i="2"/>
  <c r="E16" i="5" l="1"/>
  <c r="D16"/>
  <c r="G177" i="14"/>
  <c r="G176"/>
  <c r="G175"/>
  <c r="G174"/>
  <c r="G169"/>
  <c r="O168"/>
  <c r="G168"/>
  <c r="O167"/>
  <c r="O166"/>
  <c r="G166"/>
  <c r="G170" s="1"/>
  <c r="O165"/>
  <c r="O169" s="1"/>
  <c r="G164"/>
  <c r="Q163"/>
  <c r="P163"/>
  <c r="O163"/>
  <c r="O162"/>
  <c r="O161"/>
  <c r="G161"/>
  <c r="O160"/>
  <c r="G160"/>
  <c r="G162" s="1"/>
  <c r="K154"/>
  <c r="K153"/>
  <c r="K151"/>
  <c r="J149"/>
  <c r="G149"/>
  <c r="G143"/>
  <c r="G142"/>
  <c r="G141"/>
  <c r="G144" s="1"/>
  <c r="G138"/>
  <c r="G137"/>
  <c r="G139" s="1"/>
  <c r="B149" s="1"/>
  <c r="G136"/>
  <c r="K131"/>
  <c r="K130"/>
  <c r="K128"/>
  <c r="J126"/>
  <c r="G126"/>
  <c r="G119"/>
  <c r="G118"/>
  <c r="F117"/>
  <c r="D117"/>
  <c r="C117"/>
  <c r="B117"/>
  <c r="G117" s="1"/>
  <c r="G120" s="1"/>
  <c r="G114"/>
  <c r="G113"/>
  <c r="G112"/>
  <c r="G115" s="1"/>
  <c r="G101"/>
  <c r="J101" s="1"/>
  <c r="J100"/>
  <c r="G100"/>
  <c r="L94"/>
  <c r="I94"/>
  <c r="R90"/>
  <c r="T90" s="1"/>
  <c r="G87"/>
  <c r="T86"/>
  <c r="R86"/>
  <c r="G86"/>
  <c r="G88" s="1"/>
  <c r="G83"/>
  <c r="R82"/>
  <c r="T82" s="1"/>
  <c r="G82"/>
  <c r="G84" s="1"/>
  <c r="T77"/>
  <c r="R77"/>
  <c r="M77"/>
  <c r="H106" s="1"/>
  <c r="K77"/>
  <c r="F77"/>
  <c r="D77"/>
  <c r="M71"/>
  <c r="I71"/>
  <c r="T70"/>
  <c r="F70"/>
  <c r="K70" s="1"/>
  <c r="T69"/>
  <c r="F69"/>
  <c r="K61"/>
  <c r="F61"/>
  <c r="F60"/>
  <c r="K55"/>
  <c r="J55"/>
  <c r="G55"/>
  <c r="E55"/>
  <c r="H55" s="1"/>
  <c r="J50"/>
  <c r="G50"/>
  <c r="H61" s="1"/>
  <c r="J49"/>
  <c r="G49"/>
  <c r="F49"/>
  <c r="G42"/>
  <c r="B152" s="1"/>
  <c r="O35"/>
  <c r="G35"/>
  <c r="N30"/>
  <c r="C30"/>
  <c r="N29"/>
  <c r="M29"/>
  <c r="Q29" s="1"/>
  <c r="C29"/>
  <c r="B29"/>
  <c r="G29" s="1"/>
  <c r="J28"/>
  <c r="B30" s="1"/>
  <c r="G30" s="1"/>
  <c r="G23"/>
  <c r="G22"/>
  <c r="G21"/>
  <c r="G24" s="1"/>
  <c r="G18"/>
  <c r="G17"/>
  <c r="G19" s="1"/>
  <c r="B50" s="1"/>
  <c r="J16"/>
  <c r="G16"/>
  <c r="G10"/>
  <c r="G9"/>
  <c r="G8"/>
  <c r="G11" s="1"/>
  <c r="G5"/>
  <c r="G4"/>
  <c r="G6" s="1"/>
  <c r="J3"/>
  <c r="G3"/>
  <c r="E13" i="3"/>
  <c r="E149" i="14" l="1"/>
  <c r="H149" s="1"/>
  <c r="K149"/>
  <c r="J88"/>
  <c r="E44"/>
  <c r="G44" s="1"/>
  <c r="B49"/>
  <c r="M37"/>
  <c r="O37" s="1"/>
  <c r="O38" s="1"/>
  <c r="B53" s="1"/>
  <c r="E37"/>
  <c r="G37" s="1"/>
  <c r="G38" s="1"/>
  <c r="B54" s="1"/>
  <c r="J84"/>
  <c r="K50"/>
  <c r="J70"/>
  <c r="M70" s="1"/>
  <c r="J61"/>
  <c r="M61" s="1"/>
  <c r="I88"/>
  <c r="L88" s="1"/>
  <c r="E50"/>
  <c r="H60"/>
  <c r="K60"/>
  <c r="E152"/>
  <c r="H152" s="1"/>
  <c r="K152"/>
  <c r="G171"/>
  <c r="G179" s="1"/>
  <c r="G31"/>
  <c r="B51" s="1"/>
  <c r="B126"/>
  <c r="O170"/>
  <c r="I101"/>
  <c r="L101" s="1"/>
  <c r="K69"/>
  <c r="H70"/>
  <c r="H69"/>
  <c r="H94"/>
  <c r="I106"/>
  <c r="L106" s="1"/>
  <c r="M30"/>
  <c r="Q30" s="1"/>
  <c r="Q31" s="1"/>
  <c r="G45"/>
  <c r="B52" s="1"/>
  <c r="B129"/>
  <c r="E53" l="1"/>
  <c r="H53" s="1"/>
  <c r="K53"/>
  <c r="J62"/>
  <c r="M62" s="1"/>
  <c r="K51"/>
  <c r="E51"/>
  <c r="K126"/>
  <c r="E126"/>
  <c r="H126" s="1"/>
  <c r="I90"/>
  <c r="L90" s="1"/>
  <c r="I103"/>
  <c r="L103" s="1"/>
  <c r="I91"/>
  <c r="L91" s="1"/>
  <c r="K54"/>
  <c r="J63"/>
  <c r="M63" s="1"/>
  <c r="E54"/>
  <c r="E52"/>
  <c r="J72"/>
  <c r="M72" s="1"/>
  <c r="I104"/>
  <c r="L104" s="1"/>
  <c r="I92"/>
  <c r="L92" s="1"/>
  <c r="K52"/>
  <c r="E129"/>
  <c r="H129" s="1"/>
  <c r="K129"/>
  <c r="E49"/>
  <c r="J69"/>
  <c r="M69" s="1"/>
  <c r="M73" s="1"/>
  <c r="Q70" s="1"/>
  <c r="V70" s="1"/>
  <c r="I84"/>
  <c r="L84" s="1"/>
  <c r="L93" s="1"/>
  <c r="L95" s="1"/>
  <c r="J60"/>
  <c r="M60" s="1"/>
  <c r="M64" s="1"/>
  <c r="Q61" s="1"/>
  <c r="K49"/>
  <c r="G70"/>
  <c r="I70" s="1"/>
  <c r="H50"/>
  <c r="G61"/>
  <c r="I61" s="1"/>
  <c r="I100"/>
  <c r="L100" s="1"/>
  <c r="H101" l="1"/>
  <c r="H88"/>
  <c r="G72"/>
  <c r="I72" s="1"/>
  <c r="H52"/>
  <c r="G60"/>
  <c r="I60" s="1"/>
  <c r="H49"/>
  <c r="G69"/>
  <c r="I69" s="1"/>
  <c r="I73" s="1"/>
  <c r="Q69" s="1"/>
  <c r="V69" s="1"/>
  <c r="G63"/>
  <c r="I63" s="1"/>
  <c r="H54"/>
  <c r="H51"/>
  <c r="G62"/>
  <c r="I62" s="1"/>
  <c r="L105"/>
  <c r="L107" s="1"/>
  <c r="D4" i="5"/>
  <c r="H100" i="14" l="1"/>
  <c r="H84"/>
  <c r="H103"/>
  <c r="H91"/>
  <c r="H90"/>
  <c r="H104"/>
  <c r="H92"/>
  <c r="I64"/>
  <c r="Q60" s="1"/>
  <c r="H105" l="1"/>
  <c r="H107" s="1"/>
  <c r="H93"/>
  <c r="H95" s="1"/>
  <c r="C8" i="3" l="1"/>
  <c r="K4" i="2"/>
  <c r="K6" l="1"/>
  <c r="D14" l="1"/>
  <c r="D10" i="9" l="1"/>
  <c r="D6" l="1"/>
  <c r="D7"/>
  <c r="D8"/>
  <c r="D9"/>
  <c r="D5" l="1"/>
  <c r="C6" l="1"/>
  <c r="C10"/>
  <c r="C8" l="1"/>
  <c r="C9"/>
  <c r="C7"/>
  <c r="C5"/>
  <c r="K10" l="1"/>
  <c r="K24" l="1"/>
  <c r="K25"/>
  <c r="K23"/>
  <c r="K26" l="1"/>
  <c r="K6"/>
  <c r="K5"/>
  <c r="K21"/>
  <c r="K22"/>
  <c r="K7" l="1"/>
  <c r="K8"/>
  <c r="K9"/>
  <c r="H14" i="3" l="1"/>
  <c r="H15" s="1"/>
  <c r="H16" s="1"/>
  <c r="H17" s="1"/>
  <c r="H18" s="1"/>
  <c r="E14"/>
  <c r="E27" s="1"/>
  <c r="E15"/>
  <c r="E28" s="1"/>
  <c r="E16"/>
  <c r="E29" s="1"/>
  <c r="E17"/>
  <c r="E30" s="1"/>
  <c r="E26"/>
  <c r="D15" i="2"/>
  <c r="D16" s="1"/>
  <c r="E4"/>
  <c r="C15" s="1"/>
  <c r="E5"/>
  <c r="F5" s="1"/>
  <c r="E6"/>
  <c r="F6" s="1"/>
  <c r="E7"/>
  <c r="C18" s="1"/>
  <c r="E8"/>
  <c r="C19" s="1"/>
  <c r="E3"/>
  <c r="C14" s="1"/>
  <c r="E14" s="1"/>
  <c r="C17" l="1"/>
  <c r="F7"/>
  <c r="J25" i="9" s="1"/>
  <c r="F8" i="2"/>
  <c r="C16"/>
  <c r="E16" s="1"/>
  <c r="J24" i="9"/>
  <c r="J8"/>
  <c r="J7"/>
  <c r="J23"/>
  <c r="J10"/>
  <c r="J26"/>
  <c r="F4" i="2"/>
  <c r="E9"/>
  <c r="K7" s="1"/>
  <c r="D17"/>
  <c r="E15"/>
  <c r="C20"/>
  <c r="F3"/>
  <c r="J9" i="9" l="1"/>
  <c r="J6"/>
  <c r="J22"/>
  <c r="E17" i="2"/>
  <c r="D18"/>
  <c r="J21" i="9"/>
  <c r="J5"/>
  <c r="F9" i="2"/>
  <c r="E18" l="1"/>
  <c r="E20" s="1"/>
  <c r="D19"/>
  <c r="E19" s="1"/>
  <c r="E18" i="3"/>
  <c r="E31" s="1"/>
  <c r="E19"/>
  <c r="E32" s="1"/>
  <c r="K5" i="2"/>
  <c r="F14" l="1"/>
  <c r="F16"/>
  <c r="F15"/>
  <c r="F17"/>
  <c r="F19"/>
  <c r="F18"/>
  <c r="H5" i="9" l="1"/>
  <c r="G14" i="2"/>
  <c r="H21" i="9"/>
  <c r="H7"/>
  <c r="H23"/>
  <c r="H6"/>
  <c r="H22"/>
  <c r="H24"/>
  <c r="H8"/>
  <c r="H26"/>
  <c r="H10"/>
  <c r="H25"/>
  <c r="H9"/>
  <c r="H11" l="1"/>
  <c r="G15" i="2"/>
  <c r="C13" i="3"/>
  <c r="I21" i="9"/>
  <c r="L21" s="1"/>
  <c r="I5"/>
  <c r="L5" s="1"/>
  <c r="H27"/>
  <c r="C26" i="3" l="1"/>
  <c r="C38" s="1"/>
  <c r="D13"/>
  <c r="D26" s="1"/>
  <c r="D38" s="1"/>
  <c r="C14"/>
  <c r="G16" i="2"/>
  <c r="I22" i="9"/>
  <c r="L22" s="1"/>
  <c r="I6"/>
  <c r="L6" s="1"/>
  <c r="D14" i="3" l="1"/>
  <c r="D27" s="1"/>
  <c r="D39" s="1"/>
  <c r="C27"/>
  <c r="C39" s="1"/>
  <c r="F13"/>
  <c r="F26" s="1"/>
  <c r="F38" s="1"/>
  <c r="G17" i="2"/>
  <c r="I23" i="9"/>
  <c r="L23" s="1"/>
  <c r="I7"/>
  <c r="L7" s="1"/>
  <c r="C15" i="3"/>
  <c r="F14" l="1"/>
  <c r="F27" s="1"/>
  <c r="F39" s="1"/>
  <c r="G13"/>
  <c r="G26" s="1"/>
  <c r="G38" s="1"/>
  <c r="C16" i="5"/>
  <c r="I24" i="9"/>
  <c r="L24" s="1"/>
  <c r="I8"/>
  <c r="L8" s="1"/>
  <c r="C16" i="3"/>
  <c r="G18" i="2"/>
  <c r="C28" i="3"/>
  <c r="C40" s="1"/>
  <c r="D15"/>
  <c r="D28" s="1"/>
  <c r="D40" s="1"/>
  <c r="G19" i="2" l="1"/>
  <c r="C17" i="3"/>
  <c r="I25" i="9"/>
  <c r="L25" s="1"/>
  <c r="I9"/>
  <c r="L9" s="1"/>
  <c r="C17" i="5"/>
  <c r="F15" i="3"/>
  <c r="I13"/>
  <c r="J13" s="1"/>
  <c r="F16" i="5" s="1"/>
  <c r="G14" i="3"/>
  <c r="G27" s="1"/>
  <c r="G39" s="1"/>
  <c r="C29"/>
  <c r="C41" s="1"/>
  <c r="D16"/>
  <c r="D29" s="1"/>
  <c r="D41" s="1"/>
  <c r="G15" l="1"/>
  <c r="G28" s="1"/>
  <c r="G40" s="1"/>
  <c r="F28"/>
  <c r="F40" s="1"/>
  <c r="C18" i="5" s="1"/>
  <c r="C4"/>
  <c r="I10" i="9"/>
  <c r="L10" s="1"/>
  <c r="M10" s="1"/>
  <c r="I26"/>
  <c r="L26" s="1"/>
  <c r="M26" s="1"/>
  <c r="C18" i="3"/>
  <c r="F16"/>
  <c r="F29" s="1"/>
  <c r="F41" s="1"/>
  <c r="I15"/>
  <c r="G16"/>
  <c r="G29" s="1"/>
  <c r="G41" s="1"/>
  <c r="C30"/>
  <c r="C42" s="1"/>
  <c r="D17"/>
  <c r="D30" s="1"/>
  <c r="D42" s="1"/>
  <c r="I14"/>
  <c r="J14" s="1"/>
  <c r="F17" i="5" s="1"/>
  <c r="J15" i="3" l="1"/>
  <c r="F18" i="5" s="1"/>
  <c r="E19"/>
  <c r="M9" i="9"/>
  <c r="N10"/>
  <c r="O10"/>
  <c r="F17" i="3"/>
  <c r="F30" s="1"/>
  <c r="F42" s="1"/>
  <c r="C5" i="5"/>
  <c r="I16" i="3"/>
  <c r="M25" i="9"/>
  <c r="N26"/>
  <c r="O26"/>
  <c r="D18" i="3"/>
  <c r="D31" s="1"/>
  <c r="D43" s="1"/>
  <c r="C31"/>
  <c r="C43" s="1"/>
  <c r="C19" i="5"/>
  <c r="C6"/>
  <c r="D17"/>
  <c r="G17" s="1"/>
  <c r="D18"/>
  <c r="D21"/>
  <c r="G16"/>
  <c r="D20"/>
  <c r="D19"/>
  <c r="J16" i="3" l="1"/>
  <c r="F19" i="5" s="1"/>
  <c r="H19" s="1"/>
  <c r="G18"/>
  <c r="E21"/>
  <c r="E18"/>
  <c r="H18" s="1"/>
  <c r="E17"/>
  <c r="H17" s="1"/>
  <c r="E20"/>
  <c r="H16"/>
  <c r="C7"/>
  <c r="M24" i="9"/>
  <c r="N25"/>
  <c r="O25"/>
  <c r="C20" i="5"/>
  <c r="C26" s="1"/>
  <c r="F19" i="3"/>
  <c r="F18"/>
  <c r="N9" i="9"/>
  <c r="M8"/>
  <c r="O9"/>
  <c r="G17" i="3"/>
  <c r="G30" s="1"/>
  <c r="G42" s="1"/>
  <c r="D6" i="5"/>
  <c r="E6" s="1"/>
  <c r="H6" s="1"/>
  <c r="L6" s="1"/>
  <c r="M6" s="1"/>
  <c r="D5"/>
  <c r="E5" s="1"/>
  <c r="H5" s="1"/>
  <c r="L5" s="1"/>
  <c r="M5" s="1"/>
  <c r="D9"/>
  <c r="D8"/>
  <c r="D7"/>
  <c r="E4"/>
  <c r="H4" s="1"/>
  <c r="L4" s="1"/>
  <c r="M4" s="1"/>
  <c r="F32" i="3" l="1"/>
  <c r="F44" s="1"/>
  <c r="C22" i="5" s="1"/>
  <c r="G18" i="3"/>
  <c r="G31" s="1"/>
  <c r="G43" s="1"/>
  <c r="F31"/>
  <c r="F43" s="1"/>
  <c r="G19" i="5"/>
  <c r="M7" i="9"/>
  <c r="N8"/>
  <c r="O8"/>
  <c r="I17" i="3"/>
  <c r="J17" s="1"/>
  <c r="E7" i="5"/>
  <c r="H7" s="1"/>
  <c r="L7" s="1"/>
  <c r="M7" s="1"/>
  <c r="C21"/>
  <c r="C27" s="1"/>
  <c r="N24" i="9"/>
  <c r="O24"/>
  <c r="M23"/>
  <c r="I18" i="3" l="1"/>
  <c r="J18" s="1"/>
  <c r="F21" i="5" s="1"/>
  <c r="N7" i="9"/>
  <c r="O7"/>
  <c r="M6"/>
  <c r="F20" i="5"/>
  <c r="C8"/>
  <c r="E8" s="1"/>
  <c r="H8" s="1"/>
  <c r="L8" s="1"/>
  <c r="M8" s="1"/>
  <c r="C9"/>
  <c r="E9" s="1"/>
  <c r="H9" s="1"/>
  <c r="L9" s="1"/>
  <c r="M9" s="1"/>
  <c r="N23" i="9"/>
  <c r="O23"/>
  <c r="M22"/>
  <c r="H20" i="5" l="1"/>
  <c r="G20"/>
  <c r="D26" s="1"/>
  <c r="N6" i="9"/>
  <c r="O6"/>
  <c r="M5"/>
  <c r="M21"/>
  <c r="O22"/>
  <c r="N22"/>
  <c r="H21" i="5"/>
  <c r="D27" s="1"/>
  <c r="G21"/>
  <c r="N21" i="9" l="1"/>
  <c r="N27" s="1"/>
  <c r="O21"/>
  <c r="O27" s="1"/>
  <c r="O5"/>
  <c r="O11" s="1"/>
  <c r="I14" s="1"/>
  <c r="N5"/>
  <c r="N11" s="1"/>
  <c r="I30" l="1"/>
</calcChain>
</file>

<file path=xl/comments1.xml><?xml version="1.0" encoding="utf-8"?>
<comments xmlns="http://schemas.openxmlformats.org/spreadsheetml/2006/main">
  <authors>
    <author>Mariagrazia</author>
  </authors>
  <commentList>
    <comment ref="J3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Quindi il solaio si è assunto alto 22 cm=18cm+4cm, dove 4 cm è lo spessore della soletta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Verificare valore!!
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dovreebbe essere 30 cm con la camera d'aria, ma non viene contanto nel peso
</t>
        </r>
      </text>
    </comment>
    <comment ref="N2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dovreebbe essere 30 cm con la camera d'aria, ma non viene contanto nel peso
</t>
        </r>
      </text>
    </comment>
    <comment ref="A5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sta supponendo una trave a spessore 22x60, cioè con uno spessore pari all'altezza del solaio
</t>
        </r>
      </text>
    </comment>
    <comment ref="A55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Il peso proprio  della scala è in genere un po' più grande di quello del solaio perché abbiamo marmo in alzata e pedata</t>
        </r>
      </text>
    </comment>
    <comment ref="Q6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Ho preso come L la lunghezza della trave</t>
        </r>
      </text>
    </comment>
    <comment ref="A61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Nel balcone non esistono coeff. Di continuità
</t>
        </r>
      </text>
    </comment>
    <comment ref="D7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K7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R7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A7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pilastro più sollecitato
</t>
        </r>
      </text>
    </comment>
    <comment ref="B8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solaio
</t>
        </r>
      </text>
    </comment>
    <comment ref="C8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trave
</t>
        </r>
      </text>
    </comment>
    <comment ref="R8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R86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R90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Abbiamo tolto lo spessore della trave pari a 60 cm
</t>
        </r>
      </text>
    </comment>
    <comment ref="A98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pilastro meno sollecitato
</t>
        </r>
      </text>
    </comment>
    <comment ref="B9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solaio
</t>
        </r>
      </text>
    </comment>
    <comment ref="C9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coeff. Continuità trave
</t>
        </r>
      </text>
    </comment>
    <comment ref="A129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sta supponendo una trave a spessore 22x60, cioè con uno spessore pari all'altezza del solaio
</t>
        </r>
      </text>
    </comment>
    <comment ref="A131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Il peso proprio  della scala è in genere un po' più grande di quello del solaio perché abbiamo marmo in alzata e pedata</t>
        </r>
      </text>
    </comment>
    <comment ref="A152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sta supponendo una trave a spessore 22x60, cioè con uno spessore pari all'altezza del solaio
</t>
        </r>
      </text>
    </comment>
    <comment ref="A15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Il peso proprio  della scala è in genere un po' più grande di quello del solaio perché abbiamo marmo in alzata e pedata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considero che in 1 m ci stanno 3 gradini
</t>
        </r>
      </text>
    </comment>
    <comment ref="P163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dividiamo per la larghezza della rampa ottenendo cosi un carico a mq)
</t>
        </r>
      </text>
    </comment>
    <comment ref="Q163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dividiamo per il cos dell'angolo della rampa ottenendo un carico a mq ma in proiezione in rampa
</t>
        </r>
      </text>
    </comment>
  </commentList>
</comments>
</file>

<file path=xl/comments2.xml><?xml version="1.0" encoding="utf-8"?>
<comments xmlns="http://schemas.openxmlformats.org/spreadsheetml/2006/main">
  <authors>
    <author>Mariagrazia</author>
  </authors>
  <commentList>
    <comment ref="K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Si è trascurato il torrino
</t>
        </r>
      </text>
    </comment>
  </commentList>
</comments>
</file>

<file path=xl/comments3.xml><?xml version="1.0" encoding="utf-8"?>
<comments xmlns="http://schemas.openxmlformats.org/spreadsheetml/2006/main">
  <authors>
    <author>Mariagrazia</author>
  </authors>
  <commentList>
    <comment ref="D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prendiamo tra i due, il valore più piccolo</t>
        </r>
      </text>
    </comment>
    <comment ref="B2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per i telai perimetrali si è considerato un incremento del 20% dei valori di Vpilastro, Mpilastro e Mtrave calcolati nella precedente tabella
</t>
        </r>
      </text>
    </comment>
    <comment ref="B36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per i telai perimetrali si è considerato un incremento del 20% dei valori di Vpilastro, Mpilastro e Mtrave calcolati nella precedente tabella
</t>
        </r>
      </text>
    </comment>
    <comment ref="E37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Stiamo considerando CD "A"</t>
        </r>
      </text>
    </comment>
  </commentList>
</comments>
</file>

<file path=xl/comments4.xml><?xml version="1.0" encoding="utf-8"?>
<comments xmlns="http://schemas.openxmlformats.org/spreadsheetml/2006/main">
  <authors>
    <author>Mariagrazia</author>
  </authors>
  <commentList>
    <comment ref="I14" authorId="0">
      <text>
        <r>
          <rPr>
            <b/>
            <sz val="9"/>
            <color indexed="81"/>
            <rFont val="Tahoma"/>
            <family val="2"/>
          </rPr>
          <t>Mariagrazia:</t>
        </r>
        <r>
          <rPr>
            <sz val="9"/>
            <color indexed="81"/>
            <rFont val="Tahoma"/>
            <family val="2"/>
          </rPr>
          <t xml:space="preserve">
Prendiamo questi periodi per rieseguire i conti e calcolare le forze nelle due direzioni. </t>
        </r>
      </text>
    </comment>
  </commentList>
</comments>
</file>

<file path=xl/sharedStrings.xml><?xml version="1.0" encoding="utf-8"?>
<sst xmlns="http://schemas.openxmlformats.org/spreadsheetml/2006/main" count="1064" uniqueCount="241">
  <si>
    <t>L [cm] =</t>
  </si>
  <si>
    <t>s [cm] =</t>
  </si>
  <si>
    <t xml:space="preserve">soletta </t>
  </si>
  <si>
    <t xml:space="preserve">travetti  </t>
  </si>
  <si>
    <t xml:space="preserve">laterizi </t>
  </si>
  <si>
    <r>
      <t>peso [kN</t>
    </r>
    <r>
      <rPr>
        <sz val="11"/>
        <color theme="1"/>
        <rFont val="Calibri"/>
        <family val="2"/>
        <scheme val="minor"/>
      </rPr>
      <t>]</t>
    </r>
  </si>
  <si>
    <r>
      <t>peso specifico [kN/m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</si>
  <si>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TOTALE</t>
  </si>
  <si>
    <t>intonaco</t>
  </si>
  <si>
    <t>massetto alleggerito</t>
  </si>
  <si>
    <t>pavimento di granito</t>
  </si>
  <si>
    <t>h [m]</t>
  </si>
  <si>
    <t>larghezza [m]</t>
  </si>
  <si>
    <t>spessore [m]</t>
  </si>
  <si>
    <t>pavimento in gres</t>
  </si>
  <si>
    <t>tamponatura</t>
  </si>
  <si>
    <t>laterizi</t>
  </si>
  <si>
    <t>Solaio</t>
  </si>
  <si>
    <r>
      <t>a</t>
    </r>
    <r>
      <rPr>
        <vertAlign val="subscript"/>
        <sz val="11"/>
        <color theme="1"/>
        <rFont val="Symbol"/>
        <family val="1"/>
        <charset val="2"/>
      </rPr>
      <t>1</t>
    </r>
  </si>
  <si>
    <r>
      <t>a</t>
    </r>
    <r>
      <rPr>
        <vertAlign val="subscript"/>
        <sz val="11"/>
        <color theme="1"/>
        <rFont val="Symbol"/>
        <family val="1"/>
        <charset val="2"/>
      </rPr>
      <t>2</t>
    </r>
  </si>
  <si>
    <t>L  (P7-P8)</t>
  </si>
  <si>
    <t>L (balcone)</t>
  </si>
  <si>
    <t>Balcone</t>
  </si>
  <si>
    <r>
      <t>g</t>
    </r>
    <r>
      <rPr>
        <vertAlign val="subscript"/>
        <sz val="11"/>
        <color theme="1"/>
        <rFont val="Calibri"/>
        <family val="2"/>
        <scheme val="minor"/>
      </rPr>
      <t xml:space="preserve">d   </t>
    </r>
    <r>
      <rPr>
        <sz val="11"/>
        <color theme="1"/>
        <rFont val="Calibri"/>
        <family val="2"/>
        <scheme val="minor"/>
      </rPr>
      <t>[kN/m</t>
    </r>
    <r>
      <rPr>
        <sz val="11"/>
        <color theme="1"/>
        <rFont val="Calibri"/>
        <family val="2"/>
        <scheme val="minor"/>
      </rPr>
      <t>]</t>
    </r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</si>
  <si>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d   </t>
    </r>
    <r>
      <rPr>
        <sz val="11"/>
        <color theme="1"/>
        <rFont val="Calibri"/>
        <family val="2"/>
        <scheme val="minor"/>
      </rPr>
      <t>[kN/m</t>
    </r>
    <r>
      <rPr>
        <sz val="11"/>
        <color theme="1"/>
        <rFont val="Calibri"/>
        <family val="2"/>
        <scheme val="minor"/>
      </rPr>
      <t>]</t>
    </r>
  </si>
  <si>
    <t>Peso Proprio Trave</t>
  </si>
  <si>
    <t>BALCONE</t>
  </si>
  <si>
    <t>-</t>
  </si>
  <si>
    <t>TAMPONATURA</t>
  </si>
  <si>
    <t xml:space="preserve">massetto </t>
  </si>
  <si>
    <r>
      <t>Peso Proprio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</si>
  <si>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Sovraccarichi Permaneti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</si>
  <si>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Peso Proprio [kN/m]</t>
  </si>
  <si>
    <t>LIMITI NORMATIVA SOLAIO</t>
  </si>
  <si>
    <t>LIMITI NORMATIVA BALCONE</t>
  </si>
  <si>
    <r>
      <t>N° pignatte su 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</si>
  <si>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TRAVE EMERGENTE (8-16) 30X60 </t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</si>
  <si>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</si>
  <si>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k,tramezzi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</si>
  <si>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</si>
  <si>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</si>
  <si>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d,tramezzi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</si>
  <si>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</si>
  <si>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+ q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</si>
  <si>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Campata 8-16</t>
  </si>
  <si>
    <t>Tamponatura</t>
  </si>
  <si>
    <t>MATERIALI</t>
  </si>
  <si>
    <t>Laterizi Forati</t>
  </si>
  <si>
    <t>Dimensioni</t>
  </si>
  <si>
    <t>18x33x40</t>
  </si>
  <si>
    <t>H interpiano [m]:</t>
  </si>
  <si>
    <t>Massetto</t>
  </si>
  <si>
    <t>4 cm</t>
  </si>
  <si>
    <t>Massetto Allegerito</t>
  </si>
  <si>
    <t>8 cm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</si>
  <si>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b/>
        <sz val="11"/>
        <color theme="1"/>
        <rFont val="Calibri"/>
        <family val="2"/>
        <scheme val="minor"/>
      </rPr>
      <t xml:space="preserve">+ 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</si>
  <si>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 xml:space="preserve"> 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</si>
  <si>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r>
      <t xml:space="preserve"> </t>
    </r>
    <r>
      <rPr>
        <b/>
        <sz val="11"/>
        <color theme="1"/>
        <rFont val="Symbol"/>
        <family val="1"/>
        <charset val="2"/>
      </rPr>
      <t>y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Calibri"/>
        <family val="2"/>
        <scheme val="minor"/>
      </rPr>
      <t/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</si>
  <si>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b/>
        <sz val="11"/>
        <color theme="1"/>
        <rFont val="Calibri"/>
        <family val="2"/>
        <scheme val="minor"/>
      </rPr>
      <t/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</si>
  <si>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k</t>
    </r>
  </si>
  <si>
    <t>in assenza di sisma:</t>
  </si>
  <si>
    <t xml:space="preserve">in presenza di sisma: </t>
  </si>
  <si>
    <t>Momento Flettente - Trave Emergente</t>
  </si>
  <si>
    <t>Campata 16-24</t>
  </si>
  <si>
    <t>L  (P15-P26)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</si>
  <si>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b/>
        <sz val="11"/>
        <color theme="1"/>
        <rFont val="Calibri"/>
        <family val="2"/>
        <scheme val="minor"/>
      </rPr>
      <t>+ g</t>
    </r>
    <r>
      <rPr>
        <b/>
        <vertAlign val="subscript"/>
        <sz val="11"/>
        <color theme="1"/>
        <rFont val="Calibri"/>
        <family val="2"/>
        <scheme val="minor"/>
      </rPr>
      <t>k,tramezzi</t>
    </r>
  </si>
  <si>
    <t>r</t>
  </si>
  <si>
    <t>L [m]</t>
  </si>
  <si>
    <t>[kN/m]</t>
  </si>
  <si>
    <t>M [kNm]</t>
  </si>
  <si>
    <t>Momento Flettente - Trave a spessore</t>
  </si>
  <si>
    <t>22x60</t>
  </si>
  <si>
    <t>b (larghezza) [m]</t>
  </si>
  <si>
    <t xml:space="preserve">d (altezza utile) [m] </t>
  </si>
  <si>
    <t>c [m]</t>
  </si>
  <si>
    <t>Impalcato</t>
  </si>
  <si>
    <r>
      <rPr>
        <b/>
        <sz val="11"/>
        <color theme="1"/>
        <rFont val="Calibri"/>
        <family val="2"/>
        <scheme val="minor"/>
      </rPr>
      <t>Superficie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</si>
  <si>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Masse [kg]</t>
  </si>
  <si>
    <r>
      <t>C</t>
    </r>
    <r>
      <rPr>
        <vertAlign val="subscript"/>
        <sz val="11"/>
        <color theme="1"/>
        <rFont val="Calibri"/>
        <family val="2"/>
        <scheme val="minor"/>
      </rPr>
      <t>1</t>
    </r>
  </si>
  <si>
    <t>H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</si>
  <si>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</si>
  <si>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Quota z [m]</t>
  </si>
  <si>
    <t>Sd (T) SLV</t>
  </si>
  <si>
    <t>Vb</t>
  </si>
  <si>
    <t>V [kN]</t>
  </si>
  <si>
    <t>30x60</t>
  </si>
  <si>
    <t>b [m]</t>
  </si>
  <si>
    <t>d [m]</t>
  </si>
  <si>
    <r>
      <t>Peso Impalcato W [kN</t>
    </r>
    <r>
      <rPr>
        <b/>
        <sz val="11"/>
        <color theme="1"/>
        <rFont val="Calibri"/>
        <family val="2"/>
        <scheme val="minor"/>
      </rPr>
      <t>]</t>
    </r>
  </si>
  <si>
    <r>
      <t>Peso Impalcato [kN</t>
    </r>
    <r>
      <rPr>
        <b/>
        <sz val="11"/>
        <color theme="1"/>
        <rFont val="Calibri"/>
        <family val="2"/>
        <scheme val="minor"/>
      </rPr>
      <t>]</t>
    </r>
  </si>
  <si>
    <r>
      <t>W*z [kNm</t>
    </r>
    <r>
      <rPr>
        <b/>
        <sz val="11"/>
        <color theme="1"/>
        <rFont val="Calibri"/>
        <family val="2"/>
        <scheme val="minor"/>
      </rPr>
      <t>]</t>
    </r>
  </si>
  <si>
    <t>Parametri Spettro di Progetto</t>
  </si>
  <si>
    <r>
      <t>g</t>
    </r>
    <r>
      <rPr>
        <vertAlign val="subscript"/>
        <sz val="11"/>
        <color theme="1"/>
        <rFont val="Calibri"/>
        <family val="2"/>
        <scheme val="minor"/>
      </rPr>
      <t xml:space="preserve">d  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[kN/m]</t>
    </r>
  </si>
  <si>
    <t>n° pilastri</t>
  </si>
  <si>
    <t>direzione x</t>
  </si>
  <si>
    <t>direzione y</t>
  </si>
  <si>
    <t>n° pilastri torrino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</si>
  <si>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pilastri, i</t>
    </r>
    <r>
      <rPr>
        <b/>
        <sz val="11"/>
        <color theme="1"/>
        <rFont val="Calibri"/>
        <family val="2"/>
        <scheme val="minor"/>
      </rPr>
      <t xml:space="preserve"> [kN]</t>
    </r>
  </si>
  <si>
    <t>H interpiano [m]</t>
  </si>
  <si>
    <t>piede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</si>
  <si>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pilastro</t>
    </r>
    <r>
      <rPr>
        <b/>
        <sz val="11"/>
        <color theme="1"/>
        <rFont val="Calibri"/>
        <family val="2"/>
        <scheme val="minor"/>
      </rPr>
      <t xml:space="preserve"> [kNm]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</si>
  <si>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trave</t>
    </r>
    <r>
      <rPr>
        <b/>
        <sz val="11"/>
        <color theme="1"/>
        <rFont val="Calibri"/>
        <family val="2"/>
        <scheme val="minor"/>
      </rPr>
      <t xml:space="preserve"> [kNm]</t>
    </r>
  </si>
  <si>
    <t>H interpiano  [m]</t>
  </si>
  <si>
    <t>piano interrato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</si>
  <si>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trave </t>
    </r>
    <r>
      <rPr>
        <b/>
        <sz val="11"/>
        <color theme="1"/>
        <rFont val="Calibri"/>
        <family val="2"/>
        <scheme val="minor"/>
      </rPr>
      <t>[kN]</t>
    </r>
  </si>
  <si>
    <t>L [m] =</t>
  </si>
  <si>
    <t>s [m] =</t>
  </si>
  <si>
    <r>
      <t>D</t>
    </r>
    <r>
      <rPr>
        <b/>
        <sz val="11"/>
        <color theme="1"/>
        <rFont val="Calibri"/>
        <family val="2"/>
        <scheme val="minor"/>
      </rPr>
      <t>N [kN]</t>
    </r>
  </si>
  <si>
    <t>INCREMENTO PER ECCENTRICITA'</t>
  </si>
  <si>
    <t>sovraresistenza</t>
  </si>
  <si>
    <t>GERARCHIE DELLE RESISTENZE</t>
  </si>
  <si>
    <t>r'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</si>
  <si>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c. verticali</t>
    </r>
    <r>
      <rPr>
        <b/>
        <sz val="11"/>
        <color theme="1"/>
        <rFont val="Calibri"/>
        <family val="2"/>
        <scheme val="minor"/>
      </rPr>
      <t xml:space="preserve"> (con sisma) [kNm]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</si>
  <si>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[kNm]</t>
    </r>
  </si>
  <si>
    <t xml:space="preserve">Calcolo Altezza Utile </t>
  </si>
  <si>
    <t xml:space="preserve">Dimensionamento </t>
  </si>
  <si>
    <r>
      <t>Area Influenza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</si>
  <si>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Peso Proprio Pilastro</t>
  </si>
  <si>
    <t>L influenza [m]</t>
  </si>
  <si>
    <t>PILASTRO 16 30x70</t>
  </si>
  <si>
    <t>altezza [m]</t>
  </si>
  <si>
    <t>A</t>
  </si>
  <si>
    <t>B</t>
  </si>
  <si>
    <t>C</t>
  </si>
  <si>
    <t>D</t>
  </si>
  <si>
    <t>Somma</t>
  </si>
  <si>
    <t>Trave emergente (P8-P16)</t>
  </si>
  <si>
    <t>L _solaio [m]</t>
  </si>
  <si>
    <t>L_balcone [m]</t>
  </si>
  <si>
    <t>L_trave [m]</t>
  </si>
  <si>
    <r>
      <t>g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+ q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</si>
  <si>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TOTALE                                        [kN]</t>
  </si>
  <si>
    <t>Trave emergente (P15-P16)</t>
  </si>
  <si>
    <t>Trave a spessore (P16-P24)</t>
  </si>
  <si>
    <t>Trave emergente (P7-P8)</t>
  </si>
  <si>
    <t xml:space="preserve"> Sforzo Normale [kN]</t>
  </si>
  <si>
    <t>SOLAIO PIANO TIPO</t>
  </si>
  <si>
    <t>min</t>
  </si>
  <si>
    <t>max</t>
  </si>
  <si>
    <t>Solaio Torrino</t>
  </si>
  <si>
    <t>Torrino + 6</t>
  </si>
  <si>
    <t>1 testa</t>
  </si>
  <si>
    <t>N [kN]</t>
  </si>
  <si>
    <t>Coppie M-N più gravose</t>
  </si>
  <si>
    <t>N[kN]</t>
  </si>
  <si>
    <r>
      <t>[ M, N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>]</t>
    </r>
  </si>
  <si>
    <r>
      <t>[M, N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]</t>
    </r>
  </si>
  <si>
    <t xml:space="preserve">piano </t>
  </si>
  <si>
    <t>4, 3, 2</t>
  </si>
  <si>
    <r>
      <t>Peso Unitario [kN/m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] </t>
    </r>
  </si>
  <si>
    <t>Ordine</t>
  </si>
  <si>
    <t xml:space="preserve">Kx </t>
  </si>
  <si>
    <t xml:space="preserve">Ky </t>
  </si>
  <si>
    <t>torrino + 6</t>
  </si>
  <si>
    <t>[kN/mm]</t>
  </si>
  <si>
    <t>Forza F [kN]</t>
  </si>
  <si>
    <t>Taglio V [kN]</t>
  </si>
  <si>
    <t>Spostamenti di piano - direzione x</t>
  </si>
  <si>
    <t>[kN]</t>
  </si>
  <si>
    <t>dr</t>
  </si>
  <si>
    <t>[mm]</t>
  </si>
  <si>
    <t>u</t>
  </si>
  <si>
    <t>Spostamenti di piano - direzione y</t>
  </si>
  <si>
    <t>F i</t>
  </si>
  <si>
    <t>V i</t>
  </si>
  <si>
    <t>F u</t>
  </si>
  <si>
    <t>[kN mm]</t>
  </si>
  <si>
    <r>
      <t>m u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</si>
  <si>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[kN mm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</si>
  <si>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m</t>
  </si>
  <si>
    <r>
      <t>[kN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/m]</t>
    </r>
  </si>
  <si>
    <t>Formula di Rayleigh :           T=</t>
  </si>
  <si>
    <t>s</t>
  </si>
  <si>
    <t>Stima rigidezze</t>
  </si>
  <si>
    <t xml:space="preserve">Pilastro </t>
  </si>
  <si>
    <t>dimensione</t>
  </si>
  <si>
    <t>2 emergenti</t>
  </si>
  <si>
    <t>7-15-23</t>
  </si>
  <si>
    <t>1 emergente</t>
  </si>
  <si>
    <t>1 a spessore</t>
  </si>
  <si>
    <t>n°</t>
  </si>
  <si>
    <t>ki [kN/mm]</t>
  </si>
  <si>
    <t>2 emergente</t>
  </si>
  <si>
    <t>n° travi [30x50]</t>
  </si>
  <si>
    <t>30x50</t>
  </si>
  <si>
    <t xml:space="preserve"> 4, 3, 2</t>
  </si>
  <si>
    <t>1 emergenti</t>
  </si>
  <si>
    <t>11-19</t>
  </si>
  <si>
    <t>n° travi [30x60]</t>
  </si>
  <si>
    <t>20</t>
  </si>
  <si>
    <t>1-4-9-17-25</t>
  </si>
  <si>
    <t>30x70</t>
  </si>
  <si>
    <t>70x30</t>
  </si>
  <si>
    <t>70X22</t>
  </si>
  <si>
    <t>2-10-18-26</t>
  </si>
  <si>
    <t>TOTATLE</t>
  </si>
  <si>
    <t>8-16-24-31</t>
  </si>
  <si>
    <t>Trave Emergente ( 8 - 16) 30x60</t>
  </si>
  <si>
    <t>TAMPONATURA              [kN/m]</t>
  </si>
  <si>
    <t xml:space="preserve"> TRAVE A SPESSORE          [kN/m]</t>
  </si>
  <si>
    <t>TRAVE EMERGENTE       [kN/m]</t>
  </si>
  <si>
    <r>
      <t xml:space="preserve">      SCALA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</si>
  <si>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SOLAIO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</si>
  <si>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BALCONE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</si>
  <si>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Solaio di Copertura</t>
  </si>
  <si>
    <t>Scala</t>
  </si>
  <si>
    <t xml:space="preserve">TRAVE EMERGENTE  30X50 </t>
  </si>
  <si>
    <t>ktot [kN/mm]</t>
  </si>
  <si>
    <t>Peso Proprio solaio [kN/m]</t>
  </si>
  <si>
    <t xml:space="preserve">peso solaio (dettratto) </t>
  </si>
  <si>
    <t>TRAVE A SPESSORE (16-24) 70x22</t>
  </si>
  <si>
    <t>Piano Tipo</t>
  </si>
  <si>
    <r>
      <t>SOLAIO                     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</si>
  <si>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BALCONE                 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</si>
  <si>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TAMPONATURA                             [kN/m]</t>
  </si>
  <si>
    <t>TRAVE A SPESSORE                       [kN/m]</t>
  </si>
  <si>
    <t>TRAVE EMERGENTE  30x50         [kN/m]</t>
  </si>
  <si>
    <t>TRAVE EMERGENTE  30x60         [kN/m]</t>
  </si>
  <si>
    <r>
      <t>SCALA                                               [kN/m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</si>
  <si>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CARICO TRAVE (EMERGENTE) 113</t>
  </si>
  <si>
    <t>CARICO TRAVE (A SPESSORE) 113</t>
  </si>
  <si>
    <t xml:space="preserve">PILASTRO 16 30x70  </t>
  </si>
  <si>
    <t>1° ordine</t>
  </si>
  <si>
    <t xml:space="preserve"> ( 2°-3°-4° ordine)</t>
  </si>
  <si>
    <t>5°-6° ordine</t>
  </si>
  <si>
    <t>s [m]</t>
  </si>
  <si>
    <t>gradino</t>
  </si>
  <si>
    <t>Alzata</t>
  </si>
  <si>
    <t>marmo</t>
  </si>
  <si>
    <t>gradini</t>
  </si>
  <si>
    <t>malta</t>
  </si>
  <si>
    <t>Pedata</t>
  </si>
  <si>
    <t>massetto</t>
  </si>
  <si>
    <t>TOT</t>
  </si>
  <si>
    <t>Pianerottolo</t>
  </si>
  <si>
    <t>5-14</t>
  </si>
  <si>
    <t>2 a spessore</t>
  </si>
  <si>
    <t xml:space="preserve">PILASTRO 16 30x30  </t>
  </si>
  <si>
    <t>PILASTRO 16 30x30</t>
  </si>
  <si>
    <t>CARICO PILASTRO 9</t>
  </si>
  <si>
    <t>CARICO PILASTRO 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</si>
</sst>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bscript"/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6">
    <xf numFmtId="0" fontId="0" fillId="0" borderId="0" xfId="0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/>
    <xf numFmtId="0" fontId="0" fillId="0" borderId="2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2" fontId="0" fillId="3" borderId="4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7" fillId="3" borderId="2" xfId="0" applyFont="1" applyFill="1" applyBorder="1"/>
    <xf numFmtId="0" fontId="7" fillId="3" borderId="12" xfId="0" applyFont="1" applyFill="1" applyBorder="1"/>
    <xf numFmtId="0" fontId="0" fillId="3" borderId="2" xfId="0" applyFill="1" applyBorder="1"/>
    <xf numFmtId="0" fontId="0" fillId="3" borderId="4" xfId="0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2" fontId="0" fillId="4" borderId="18" xfId="0" applyNumberFormat="1" applyFill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/>
    <xf numFmtId="0" fontId="0" fillId="0" borderId="21" xfId="0" applyBorder="1"/>
    <xf numFmtId="0" fontId="0" fillId="0" borderId="18" xfId="0" applyBorder="1"/>
    <xf numFmtId="0" fontId="0" fillId="0" borderId="23" xfId="0" applyBorder="1" applyAlignment="1">
      <alignment horizontal="center"/>
    </xf>
    <xf numFmtId="0" fontId="0" fillId="0" borderId="0" xfId="0" applyBorder="1" applyAlignment="1"/>
    <xf numFmtId="0" fontId="7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5" borderId="10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11" xfId="0" applyBorder="1"/>
    <xf numFmtId="0" fontId="0" fillId="0" borderId="26" xfId="0" applyBorder="1" applyAlignment="1">
      <alignment horizontal="center"/>
    </xf>
    <xf numFmtId="0" fontId="0" fillId="0" borderId="3" xfId="0" applyBorder="1"/>
    <xf numFmtId="0" fontId="0" fillId="0" borderId="13" xfId="0" applyBorder="1"/>
    <xf numFmtId="0" fontId="0" fillId="0" borderId="26" xfId="0" applyBorder="1"/>
    <xf numFmtId="0" fontId="0" fillId="3" borderId="10" xfId="0" applyFill="1" applyBorder="1"/>
    <xf numFmtId="0" fontId="0" fillId="3" borderId="18" xfId="0" applyFill="1" applyBorder="1"/>
    <xf numFmtId="0" fontId="0" fillId="0" borderId="9" xfId="0" applyBorder="1"/>
    <xf numFmtId="0" fontId="0" fillId="3" borderId="10" xfId="0" applyFill="1" applyBorder="1" applyAlignment="1">
      <alignment horizontal="center"/>
    </xf>
    <xf numFmtId="0" fontId="0" fillId="3" borderId="21" xfId="0" applyFill="1" applyBorder="1"/>
    <xf numFmtId="0" fontId="0" fillId="0" borderId="8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9" xfId="0" applyFill="1" applyBorder="1"/>
    <xf numFmtId="0" fontId="0" fillId="5" borderId="9" xfId="0" applyFill="1" applyBorder="1" applyAlignment="1">
      <alignment horizontal="center"/>
    </xf>
    <xf numFmtId="0" fontId="0" fillId="5" borderId="13" xfId="0" applyFill="1" applyBorder="1"/>
    <xf numFmtId="0" fontId="0" fillId="5" borderId="13" xfId="0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5" borderId="17" xfId="0" applyNumberFormat="1" applyFill="1" applyBorder="1" applyAlignment="1">
      <alignment horizontal="center"/>
    </xf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7" borderId="10" xfId="0" applyFill="1" applyBorder="1"/>
    <xf numFmtId="0" fontId="0" fillId="7" borderId="10" xfId="0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9" xfId="0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2" xfId="0" applyFont="1" applyFill="1" applyBorder="1"/>
    <xf numFmtId="0" fontId="0" fillId="7" borderId="3" xfId="0" applyFill="1" applyBorder="1"/>
    <xf numFmtId="165" fontId="0" fillId="3" borderId="17" xfId="0" applyNumberFormat="1" applyFill="1" applyBorder="1" applyAlignment="1">
      <alignment horizontal="center"/>
    </xf>
    <xf numFmtId="0" fontId="0" fillId="7" borderId="1" xfId="0" applyFill="1" applyBorder="1"/>
    <xf numFmtId="0" fontId="1" fillId="7" borderId="2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2" fontId="0" fillId="9" borderId="8" xfId="0" applyNumberFormat="1" applyFill="1" applyBorder="1" applyAlignment="1">
      <alignment horizontal="center"/>
    </xf>
    <xf numFmtId="2" fontId="0" fillId="9" borderId="9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0" xfId="0" applyFill="1"/>
    <xf numFmtId="49" fontId="0" fillId="0" borderId="0" xfId="0" applyNumberFormat="1" applyAlignment="1">
      <alignment horizontal="center"/>
    </xf>
    <xf numFmtId="0" fontId="1" fillId="3" borderId="0" xfId="0" applyFont="1" applyFill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1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center"/>
    </xf>
    <xf numFmtId="0" fontId="1" fillId="7" borderId="0" xfId="0" applyFont="1" applyFill="1"/>
    <xf numFmtId="0" fontId="0" fillId="7" borderId="0" xfId="0" applyFill="1"/>
    <xf numFmtId="0" fontId="0" fillId="2" borderId="0" xfId="0" applyFill="1"/>
    <xf numFmtId="0" fontId="15" fillId="2" borderId="0" xfId="0" applyFont="1" applyFill="1"/>
    <xf numFmtId="0" fontId="1" fillId="2" borderId="0" xfId="0" applyFont="1" applyFill="1"/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6" borderId="1" xfId="0" applyFill="1" applyBorder="1"/>
    <xf numFmtId="0" fontId="1" fillId="6" borderId="17" xfId="0" applyFont="1" applyFill="1" applyBorder="1" applyAlignment="1">
      <alignment horizontal="center"/>
    </xf>
    <xf numFmtId="0" fontId="0" fillId="6" borderId="2" xfId="0" applyFill="1" applyBorder="1"/>
    <xf numFmtId="0" fontId="0" fillId="6" borderId="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0" fillId="6" borderId="4" xfId="0" applyFill="1" applyBorder="1"/>
    <xf numFmtId="0" fontId="0" fillId="6" borderId="18" xfId="0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0" fillId="3" borderId="3" xfId="0" applyFill="1" applyBorder="1" applyAlignment="1"/>
    <xf numFmtId="0" fontId="0" fillId="6" borderId="8" xfId="0" applyFill="1" applyBorder="1" applyAlignment="1"/>
    <xf numFmtId="0" fontId="0" fillId="6" borderId="3" xfId="0" applyFill="1" applyBorder="1" applyAlignment="1">
      <alignment horizontal="center"/>
    </xf>
    <xf numFmtId="0" fontId="0" fillId="6" borderId="1" xfId="0" applyFill="1" applyBorder="1" applyAlignment="1"/>
    <xf numFmtId="0" fontId="0" fillId="6" borderId="2" xfId="0" applyFill="1" applyBorder="1" applyAlignment="1"/>
    <xf numFmtId="0" fontId="0" fillId="6" borderId="10" xfId="0" applyFill="1" applyBorder="1" applyAlignment="1"/>
    <xf numFmtId="0" fontId="0" fillId="3" borderId="9" xfId="0" applyFill="1" applyBorder="1" applyAlignment="1">
      <alignment horizontal="center"/>
    </xf>
    <xf numFmtId="0" fontId="0" fillId="6" borderId="2" xfId="0" applyFill="1" applyBorder="1" applyAlignment="1">
      <alignment horizontal="left"/>
    </xf>
    <xf numFmtId="0" fontId="0" fillId="6" borderId="17" xfId="0" applyFill="1" applyBorder="1" applyAlignment="1">
      <alignment horizontal="center"/>
    </xf>
    <xf numFmtId="0" fontId="0" fillId="6" borderId="17" xfId="0" applyFill="1" applyBorder="1" applyAlignment="1">
      <alignment horizontal="left"/>
    </xf>
    <xf numFmtId="2" fontId="0" fillId="3" borderId="27" xfId="0" applyNumberFormat="1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1" fillId="0" borderId="0" xfId="0" applyFont="1" applyFill="1" applyBorder="1" applyAlignment="1"/>
    <xf numFmtId="165" fontId="0" fillId="0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2" fontId="0" fillId="0" borderId="13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0" fontId="0" fillId="7" borderId="4" xfId="0" applyFill="1" applyBorder="1"/>
    <xf numFmtId="0" fontId="1" fillId="7" borderId="19" xfId="0" applyFont="1" applyFill="1" applyBorder="1"/>
    <xf numFmtId="0" fontId="0" fillId="7" borderId="22" xfId="0" applyFill="1" applyBorder="1"/>
    <xf numFmtId="0" fontId="1" fillId="7" borderId="22" xfId="0" applyFont="1" applyFill="1" applyBorder="1"/>
    <xf numFmtId="0" fontId="0" fillId="6" borderId="10" xfId="0" applyFill="1" applyBorder="1"/>
    <xf numFmtId="0" fontId="3" fillId="6" borderId="18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0" fillId="6" borderId="21" xfId="0" applyFill="1" applyBorder="1"/>
    <xf numFmtId="0" fontId="0" fillId="6" borderId="18" xfId="0" applyFill="1" applyBorder="1"/>
    <xf numFmtId="0" fontId="0" fillId="6" borderId="8" xfId="0" applyFill="1" applyBorder="1"/>
    <xf numFmtId="0" fontId="1" fillId="0" borderId="0" xfId="0" applyFont="1" applyAlignment="1">
      <alignment horizontal="left"/>
    </xf>
    <xf numFmtId="0" fontId="0" fillId="6" borderId="21" xfId="0" applyFill="1" applyBorder="1" applyAlignment="1">
      <alignment horizontal="left"/>
    </xf>
    <xf numFmtId="0" fontId="0" fillId="12" borderId="9" xfId="0" applyFill="1" applyBorder="1"/>
    <xf numFmtId="0" fontId="3" fillId="12" borderId="14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0" fillId="12" borderId="11" xfId="0" applyFill="1" applyBorder="1"/>
    <xf numFmtId="0" fontId="0" fillId="12" borderId="13" xfId="0" applyFill="1" applyBorder="1" applyAlignment="1">
      <alignment horizontal="center"/>
    </xf>
    <xf numFmtId="0" fontId="0" fillId="12" borderId="13" xfId="0" applyFill="1" applyBorder="1"/>
    <xf numFmtId="0" fontId="0" fillId="12" borderId="2" xfId="0" applyFill="1" applyBorder="1"/>
    <xf numFmtId="0" fontId="0" fillId="12" borderId="1" xfId="0" applyFill="1" applyBorder="1"/>
    <xf numFmtId="0" fontId="3" fillId="12" borderId="9" xfId="0" applyFont="1" applyFill="1" applyBorder="1" applyAlignment="1">
      <alignment horizontal="center"/>
    </xf>
    <xf numFmtId="0" fontId="1" fillId="12" borderId="2" xfId="0" applyFont="1" applyFill="1" applyBorder="1" applyAlignment="1">
      <alignment horizontal="center"/>
    </xf>
    <xf numFmtId="0" fontId="1" fillId="12" borderId="17" xfId="0" applyFont="1" applyFill="1" applyBorder="1" applyAlignment="1">
      <alignment horizontal="center"/>
    </xf>
    <xf numFmtId="0" fontId="0" fillId="12" borderId="4" xfId="0" applyFill="1" applyBorder="1"/>
    <xf numFmtId="0" fontId="0" fillId="12" borderId="8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1" fillId="12" borderId="15" xfId="0" applyFont="1" applyFill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3" borderId="26" xfId="0" applyFill="1" applyBorder="1"/>
    <xf numFmtId="0" fontId="1" fillId="0" borderId="0" xfId="0" applyFont="1" applyAlignment="1">
      <alignment horizontal="right"/>
    </xf>
    <xf numFmtId="165" fontId="0" fillId="3" borderId="4" xfId="0" applyNumberFormat="1" applyFill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7" borderId="20" xfId="0" applyFill="1" applyBorder="1"/>
    <xf numFmtId="0" fontId="0" fillId="7" borderId="25" xfId="0" applyFill="1" applyBorder="1"/>
    <xf numFmtId="0" fontId="1" fillId="14" borderId="2" xfId="0" applyFont="1" applyFill="1" applyBorder="1"/>
    <xf numFmtId="0" fontId="0" fillId="14" borderId="3" xfId="0" applyFill="1" applyBorder="1"/>
    <xf numFmtId="1" fontId="0" fillId="14" borderId="17" xfId="0" applyNumberFormat="1" applyFill="1" applyBorder="1" applyAlignment="1">
      <alignment horizontal="center"/>
    </xf>
    <xf numFmtId="0" fontId="0" fillId="14" borderId="2" xfId="0" applyFill="1" applyBorder="1"/>
    <xf numFmtId="0" fontId="0" fillId="14" borderId="4" xfId="0" applyFill="1" applyBorder="1"/>
    <xf numFmtId="164" fontId="0" fillId="14" borderId="20" xfId="0" applyNumberForma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2" fontId="0" fillId="14" borderId="2" xfId="0" applyNumberFormat="1" applyFill="1" applyBorder="1" applyAlignment="1">
      <alignment horizontal="center"/>
    </xf>
    <xf numFmtId="1" fontId="0" fillId="14" borderId="1" xfId="0" applyNumberFormat="1" applyFill="1" applyBorder="1" applyAlignment="1">
      <alignment horizontal="center"/>
    </xf>
    <xf numFmtId="2" fontId="0" fillId="14" borderId="4" xfId="0" applyNumberFormat="1" applyFill="1" applyBorder="1" applyAlignment="1">
      <alignment horizontal="center"/>
    </xf>
    <xf numFmtId="2" fontId="0" fillId="14" borderId="1" xfId="0" applyNumberFormat="1" applyFill="1" applyBorder="1" applyAlignment="1">
      <alignment horizontal="center"/>
    </xf>
    <xf numFmtId="164" fontId="0" fillId="14" borderId="4" xfId="0" applyNumberForma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7" borderId="0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2" fontId="0" fillId="10" borderId="9" xfId="0" applyNumberFormat="1" applyFill="1" applyBorder="1" applyAlignment="1">
      <alignment horizontal="center"/>
    </xf>
    <xf numFmtId="2" fontId="0" fillId="10" borderId="10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1" fillId="12" borderId="8" xfId="0" applyFon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13" fillId="14" borderId="2" xfId="0" applyFont="1" applyFill="1" applyBorder="1" applyAlignment="1"/>
    <xf numFmtId="0" fontId="0" fillId="14" borderId="3" xfId="0" applyFill="1" applyBorder="1" applyAlignment="1"/>
    <xf numFmtId="0" fontId="13" fillId="14" borderId="1" xfId="0" applyFont="1" applyFill="1" applyBorder="1" applyAlignment="1">
      <alignment horizontal="center"/>
    </xf>
    <xf numFmtId="0" fontId="13" fillId="14" borderId="2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2" fontId="0" fillId="9" borderId="17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0" fontId="0" fillId="15" borderId="8" xfId="0" applyFill="1" applyBorder="1" applyAlignment="1">
      <alignment horizontal="center"/>
    </xf>
    <xf numFmtId="0" fontId="1" fillId="15" borderId="8" xfId="0" applyFont="1" applyFill="1" applyBorder="1" applyAlignment="1">
      <alignment horizontal="center"/>
    </xf>
    <xf numFmtId="0" fontId="0" fillId="15" borderId="10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1" fillId="12" borderId="10" xfId="0" applyFont="1" applyFill="1" applyBorder="1" applyAlignment="1">
      <alignment horizontal="center"/>
    </xf>
    <xf numFmtId="0" fontId="11" fillId="12" borderId="10" xfId="0" applyFont="1" applyFill="1" applyBorder="1" applyAlignment="1">
      <alignment horizontal="center"/>
    </xf>
    <xf numFmtId="0" fontId="0" fillId="12" borderId="20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3" xfId="0" applyFill="1" applyBorder="1" applyAlignment="1"/>
    <xf numFmtId="0" fontId="1" fillId="0" borderId="13" xfId="0" applyFont="1" applyFill="1" applyBorder="1" applyAlignment="1">
      <alignment horizontal="center"/>
    </xf>
    <xf numFmtId="0" fontId="14" fillId="11" borderId="2" xfId="0" applyFont="1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1" fillId="11" borderId="19" xfId="0" applyFont="1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1" fillId="13" borderId="2" xfId="0" applyFont="1" applyFill="1" applyBorder="1" applyAlignment="1">
      <alignment horizontal="center"/>
    </xf>
    <xf numFmtId="0" fontId="1" fillId="13" borderId="3" xfId="0" applyFont="1" applyFill="1" applyBorder="1" applyAlignment="1">
      <alignment horizontal="center"/>
    </xf>
    <xf numFmtId="0" fontId="1" fillId="13" borderId="12" xfId="0" applyFont="1" applyFill="1" applyBorder="1" applyAlignment="1">
      <alignment horizontal="center"/>
    </xf>
    <xf numFmtId="0" fontId="14" fillId="11" borderId="3" xfId="0" applyFont="1" applyFill="1" applyBorder="1" applyAlignment="1">
      <alignment horizontal="center"/>
    </xf>
    <xf numFmtId="0" fontId="14" fillId="11" borderId="4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3" fillId="14" borderId="2" xfId="0" applyFont="1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1" fillId="12" borderId="21" xfId="0" applyFont="1" applyFill="1" applyBorder="1" applyAlignment="1">
      <alignment horizontal="center"/>
    </xf>
    <xf numFmtId="0" fontId="1" fillId="12" borderId="18" xfId="0" applyFont="1" applyFill="1" applyBorder="1" applyAlignment="1">
      <alignment horizontal="center"/>
    </xf>
    <xf numFmtId="0" fontId="1" fillId="12" borderId="10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FFFF66"/>
      <color rgb="FFFF7979"/>
      <color rgb="FFE1904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29</xdr:row>
      <xdr:rowOff>76200</xdr:rowOff>
    </xdr:from>
    <xdr:to>
      <xdr:col>4</xdr:col>
      <xdr:colOff>428625</xdr:colOff>
      <xdr:row>48</xdr:row>
      <xdr:rowOff>123825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7700" y="5905500"/>
          <a:ext cx="4953000" cy="36671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pettri%20acisanton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_Sismica5%20-%20Massecorrett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i"/>
      <sheetName val="spettri"/>
      <sheetName val="Se"/>
      <sheetName val="Sd"/>
      <sheetName val="T"/>
      <sheetName val="val x spettri"/>
      <sheetName val="SLO"/>
      <sheetName val="SLD"/>
      <sheetName val="SLV"/>
      <sheetName val="SLC"/>
      <sheetName val="suolo A"/>
      <sheetName val="suolo B"/>
      <sheetName val="suolo C"/>
      <sheetName val="suolo D"/>
      <sheetName val="suolo E"/>
      <sheetName val="Fig SLD"/>
      <sheetName val="Fig SLV"/>
    </sheetNames>
    <sheetDataSet>
      <sheetData sheetId="0">
        <row r="28">
          <cell r="D28">
            <v>9.253688480091575E-2</v>
          </cell>
        </row>
      </sheetData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richi Unitari"/>
      <sheetName val="C.U. tab. riassuntiva"/>
      <sheetName val="Car_Trav"/>
      <sheetName val="Masse Impalcato"/>
      <sheetName val="Masse e Forze"/>
      <sheetName val="C. Sollecitazione"/>
      <sheetName val="Dimensionamento t+6"/>
      <sheetName val="Rig_tip_pilastro"/>
      <sheetName val="Periodo proprio"/>
      <sheetName val="Bilanciamento"/>
      <sheetName val="C. Rigidezza e Confronto"/>
      <sheetName val="Confronti"/>
      <sheetName val="Ecc. accid."/>
      <sheetName val="SLD"/>
    </sheetNames>
    <sheetDataSet>
      <sheetData sheetId="0">
        <row r="61">
          <cell r="Q61">
            <v>67.719405999999978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9"/>
  <sheetViews>
    <sheetView workbookViewId="0">
      <selection activeCell="B105" sqref="B105"/>
    </sheetView>
  </sheetViews>
  <sheetFormatPr defaultRowHeight="15"/>
  <cols>
    <col min="1" max="1" width="33.85546875" customWidth="1"/>
    <col min="2" max="2" width="13.7109375" customWidth="1"/>
    <col min="3" max="3" width="14.28515625" customWidth="1"/>
    <col min="4" max="4" width="17.140625" customWidth="1"/>
    <col min="5" max="5" width="25.85546875" customWidth="1"/>
    <col min="6" max="6" width="25.42578125" customWidth="1"/>
    <col min="7" max="7" width="31.28515625" customWidth="1"/>
    <col min="8" max="8" width="19.140625" customWidth="1"/>
    <col min="9" max="9" width="22.85546875" customWidth="1"/>
    <col min="10" max="10" width="14" customWidth="1"/>
    <col min="11" max="11" width="15.28515625" customWidth="1"/>
    <col min="12" max="12" width="25.28515625" customWidth="1"/>
    <col min="13" max="13" width="28.42578125" customWidth="1"/>
    <col min="14" max="14" width="23" customWidth="1"/>
    <col min="15" max="15" width="32.42578125" customWidth="1"/>
    <col min="16" max="16" width="21.7109375" customWidth="1"/>
    <col min="17" max="17" width="20.85546875" customWidth="1"/>
    <col min="18" max="18" width="11.7109375" customWidth="1"/>
    <col min="19" max="19" width="25.28515625" customWidth="1"/>
    <col min="20" max="20" width="22.28515625" customWidth="1"/>
    <col min="21" max="21" width="7" customWidth="1"/>
    <col min="22" max="22" width="16.42578125" customWidth="1"/>
  </cols>
  <sheetData>
    <row r="1" spans="1:15" ht="15.75" thickBot="1">
      <c r="A1" s="280" t="s">
        <v>136</v>
      </c>
      <c r="B1" s="281"/>
      <c r="C1" s="281"/>
      <c r="D1" s="281"/>
      <c r="E1" s="281"/>
      <c r="F1" s="281"/>
      <c r="G1" s="282"/>
      <c r="I1" s="16" t="s">
        <v>33</v>
      </c>
      <c r="J1" s="17"/>
      <c r="K1" s="48"/>
      <c r="N1" s="283" t="s">
        <v>46</v>
      </c>
      <c r="O1" s="284"/>
    </row>
    <row r="2" spans="1:15" ht="18" thickBot="1">
      <c r="A2" s="145"/>
      <c r="B2" s="95" t="s">
        <v>11</v>
      </c>
      <c r="C2" s="95" t="s">
        <v>12</v>
      </c>
      <c r="D2" s="95" t="s">
        <v>13</v>
      </c>
      <c r="E2" s="95" t="s">
        <v>5</v>
      </c>
      <c r="F2" s="112" t="s">
        <v>6</v>
      </c>
      <c r="G2" s="146" t="s">
        <v>30</v>
      </c>
      <c r="I2" s="218" t="s">
        <v>105</v>
      </c>
      <c r="J2" s="46">
        <v>4.3</v>
      </c>
      <c r="K2" s="47"/>
      <c r="N2" s="147"/>
      <c r="O2" s="148" t="s">
        <v>48</v>
      </c>
    </row>
    <row r="3" spans="1:15" ht="15.75" thickBot="1">
      <c r="A3" s="95" t="s">
        <v>2</v>
      </c>
      <c r="B3" s="215">
        <v>0.04</v>
      </c>
      <c r="C3" s="215">
        <v>1</v>
      </c>
      <c r="D3" s="215">
        <v>1</v>
      </c>
      <c r="E3" s="215" t="s">
        <v>27</v>
      </c>
      <c r="F3" s="219">
        <v>25</v>
      </c>
      <c r="G3" s="1">
        <f>B3*C3*D3*25</f>
        <v>1</v>
      </c>
      <c r="I3" s="218" t="s">
        <v>106</v>
      </c>
      <c r="J3" s="42">
        <f>J2/25</f>
        <v>0.17199999999999999</v>
      </c>
      <c r="K3" s="47"/>
      <c r="N3" s="95" t="s">
        <v>47</v>
      </c>
      <c r="O3" s="216" t="s">
        <v>49</v>
      </c>
    </row>
    <row r="4" spans="1:15">
      <c r="A4" s="95" t="s">
        <v>3</v>
      </c>
      <c r="B4" s="1">
        <v>0.18</v>
      </c>
      <c r="C4" s="1">
        <v>0.08</v>
      </c>
      <c r="D4" s="1">
        <v>1</v>
      </c>
      <c r="E4" s="1" t="s">
        <v>27</v>
      </c>
      <c r="F4" s="3">
        <v>25</v>
      </c>
      <c r="G4" s="1">
        <f>3*C4*B4*D4*F4</f>
        <v>1.0799999999999998</v>
      </c>
      <c r="N4" s="95" t="s">
        <v>51</v>
      </c>
      <c r="O4" s="216" t="s">
        <v>52</v>
      </c>
    </row>
    <row r="5" spans="1:15" ht="17.25">
      <c r="A5" s="95" t="s">
        <v>4</v>
      </c>
      <c r="B5" s="1">
        <v>0.18</v>
      </c>
      <c r="C5" s="1">
        <v>0.33</v>
      </c>
      <c r="D5" s="1">
        <v>0.4</v>
      </c>
      <c r="E5" s="1">
        <v>7.5999999999999998E-2</v>
      </c>
      <c r="F5" s="3" t="s">
        <v>27</v>
      </c>
      <c r="G5" s="1">
        <f>J5*E5</f>
        <v>0.56999999999999995</v>
      </c>
      <c r="I5" s="14" t="s">
        <v>35</v>
      </c>
      <c r="J5" s="285">
        <v>7.5</v>
      </c>
      <c r="K5" s="285"/>
      <c r="N5" s="145" t="s">
        <v>53</v>
      </c>
      <c r="O5" s="15" t="s">
        <v>54</v>
      </c>
    </row>
    <row r="6" spans="1:15" ht="15.75" thickBot="1">
      <c r="A6" s="8" t="s">
        <v>7</v>
      </c>
      <c r="B6" s="9"/>
      <c r="C6" s="9"/>
      <c r="D6" s="9"/>
      <c r="E6" s="9"/>
      <c r="F6" s="9"/>
      <c r="G6" s="149">
        <f>SUM(G3:G5)</f>
        <v>2.65</v>
      </c>
    </row>
    <row r="7" spans="1:15" ht="18" thickBot="1">
      <c r="A7" s="145"/>
      <c r="B7" s="95" t="s">
        <v>11</v>
      </c>
      <c r="C7" s="95" t="s">
        <v>12</v>
      </c>
      <c r="D7" s="145" t="s">
        <v>13</v>
      </c>
      <c r="E7" s="145"/>
      <c r="F7" s="112" t="s">
        <v>6</v>
      </c>
      <c r="G7" s="146" t="s">
        <v>31</v>
      </c>
    </row>
    <row r="8" spans="1:15">
      <c r="A8" s="95" t="s">
        <v>9</v>
      </c>
      <c r="B8" s="215">
        <v>1</v>
      </c>
      <c r="C8" s="215">
        <v>1</v>
      </c>
      <c r="D8" s="215">
        <v>0.08</v>
      </c>
      <c r="E8" s="84" t="s">
        <v>27</v>
      </c>
      <c r="F8" s="22">
        <v>6</v>
      </c>
      <c r="G8" s="30">
        <f>F8*D8*C8*B8</f>
        <v>0.48</v>
      </c>
    </row>
    <row r="9" spans="1:15">
      <c r="A9" s="95" t="s">
        <v>10</v>
      </c>
      <c r="B9" s="1">
        <v>1</v>
      </c>
      <c r="C9" s="1">
        <v>1</v>
      </c>
      <c r="D9" s="1">
        <v>0.02</v>
      </c>
      <c r="E9" s="84" t="s">
        <v>27</v>
      </c>
      <c r="F9" s="1">
        <v>28</v>
      </c>
      <c r="G9" s="1">
        <f>F9*D9*C9*B9</f>
        <v>0.56000000000000005</v>
      </c>
    </row>
    <row r="10" spans="1:15">
      <c r="A10" s="97" t="s">
        <v>8</v>
      </c>
      <c r="B10" s="1">
        <v>1</v>
      </c>
      <c r="C10" s="1">
        <v>1</v>
      </c>
      <c r="D10" s="1">
        <v>0.02</v>
      </c>
      <c r="E10" s="84" t="s">
        <v>27</v>
      </c>
      <c r="F10" s="1">
        <v>20</v>
      </c>
      <c r="G10" s="1">
        <f>F10*D10*C10*B10</f>
        <v>0.4</v>
      </c>
    </row>
    <row r="11" spans="1:15">
      <c r="A11" s="8" t="s">
        <v>7</v>
      </c>
      <c r="B11" s="9"/>
      <c r="C11" s="9"/>
      <c r="D11" s="9"/>
      <c r="E11" s="9"/>
      <c r="F11" s="9"/>
      <c r="G11" s="10">
        <f>SUM(G8:G10)</f>
        <v>1.44</v>
      </c>
    </row>
    <row r="14" spans="1:15" ht="15.75" thickBot="1">
      <c r="A14" s="286" t="s">
        <v>26</v>
      </c>
      <c r="B14" s="287"/>
      <c r="C14" s="287"/>
      <c r="D14" s="287"/>
      <c r="E14" s="287"/>
      <c r="F14" s="287"/>
      <c r="G14" s="288"/>
      <c r="I14" s="18" t="s">
        <v>34</v>
      </c>
      <c r="J14" s="9"/>
      <c r="K14" s="19"/>
    </row>
    <row r="15" spans="1:15" ht="18" thickBot="1">
      <c r="A15" s="150"/>
      <c r="B15" s="95" t="s">
        <v>11</v>
      </c>
      <c r="C15" s="95" t="s">
        <v>12</v>
      </c>
      <c r="D15" s="95" t="s">
        <v>13</v>
      </c>
      <c r="E15" s="95" t="s">
        <v>5</v>
      </c>
      <c r="F15" s="112" t="s">
        <v>6</v>
      </c>
      <c r="G15" s="146" t="s">
        <v>30</v>
      </c>
      <c r="I15" s="216" t="s">
        <v>0</v>
      </c>
      <c r="J15" s="289">
        <v>150</v>
      </c>
      <c r="K15" s="289"/>
      <c r="L15" s="84"/>
    </row>
    <row r="16" spans="1:15" ht="15.75" thickBot="1">
      <c r="A16" s="95" t="s">
        <v>2</v>
      </c>
      <c r="B16" s="1">
        <v>0.04</v>
      </c>
      <c r="C16" s="1">
        <v>1</v>
      </c>
      <c r="D16" s="1">
        <v>1</v>
      </c>
      <c r="E16" s="84" t="s">
        <v>27</v>
      </c>
      <c r="F16" s="3">
        <v>25</v>
      </c>
      <c r="G16" s="1">
        <f>B16*C16*D16*F16</f>
        <v>1</v>
      </c>
      <c r="I16" s="218" t="s">
        <v>1</v>
      </c>
      <c r="J16" s="290">
        <f>J15/8</f>
        <v>18.75</v>
      </c>
      <c r="K16" s="291"/>
    </row>
    <row r="17" spans="1:18">
      <c r="A17" s="95" t="s">
        <v>3</v>
      </c>
      <c r="B17" s="1">
        <v>0.18</v>
      </c>
      <c r="C17" s="1">
        <v>0.08</v>
      </c>
      <c r="D17" s="1">
        <v>1</v>
      </c>
      <c r="E17" s="84" t="s">
        <v>27</v>
      </c>
      <c r="F17" s="3">
        <v>25</v>
      </c>
      <c r="G17" s="1">
        <f>3*B17*C17*D17*F17</f>
        <v>1.08</v>
      </c>
    </row>
    <row r="18" spans="1:18">
      <c r="A18" s="95" t="s">
        <v>4</v>
      </c>
      <c r="B18" s="1">
        <v>0.18</v>
      </c>
      <c r="C18" s="1">
        <v>0.33</v>
      </c>
      <c r="D18" s="1">
        <v>0.4</v>
      </c>
      <c r="E18" s="1">
        <v>7.5999999999999998E-2</v>
      </c>
      <c r="F18" s="3" t="s">
        <v>27</v>
      </c>
      <c r="G18" s="1">
        <f>J5*E18</f>
        <v>0.56999999999999995</v>
      </c>
    </row>
    <row r="19" spans="1:18" ht="15.75" thickBot="1">
      <c r="A19" s="8" t="s">
        <v>7</v>
      </c>
      <c r="B19" s="9"/>
      <c r="C19" s="9"/>
      <c r="D19" s="9"/>
      <c r="E19" s="9"/>
      <c r="F19" s="9"/>
      <c r="G19" s="149">
        <f>SUM(G16:G18)</f>
        <v>2.65</v>
      </c>
    </row>
    <row r="20" spans="1:18" ht="18" thickBot="1">
      <c r="A20" s="93"/>
      <c r="B20" s="95" t="s">
        <v>11</v>
      </c>
      <c r="C20" s="95" t="s">
        <v>12</v>
      </c>
      <c r="D20" s="151" t="s">
        <v>13</v>
      </c>
      <c r="E20" s="145"/>
      <c r="F20" s="112" t="s">
        <v>6</v>
      </c>
      <c r="G20" s="146" t="s">
        <v>31</v>
      </c>
    </row>
    <row r="21" spans="1:18">
      <c r="A21" s="95" t="s">
        <v>29</v>
      </c>
      <c r="B21" s="1">
        <v>1</v>
      </c>
      <c r="C21" s="1">
        <v>1</v>
      </c>
      <c r="D21" s="215">
        <v>0.04</v>
      </c>
      <c r="E21" s="84" t="s">
        <v>27</v>
      </c>
      <c r="F21" s="219">
        <v>18</v>
      </c>
      <c r="G21" s="1">
        <f>F21*D21*C21*B21</f>
        <v>0.72</v>
      </c>
    </row>
    <row r="22" spans="1:18">
      <c r="A22" s="95" t="s">
        <v>14</v>
      </c>
      <c r="B22" s="1">
        <v>1</v>
      </c>
      <c r="C22" s="1">
        <v>1</v>
      </c>
      <c r="D22" s="1">
        <v>0.02</v>
      </c>
      <c r="E22" s="84" t="s">
        <v>27</v>
      </c>
      <c r="F22" s="3">
        <v>22</v>
      </c>
      <c r="G22" s="1">
        <f>B22*C22*D22*F22</f>
        <v>0.44</v>
      </c>
    </row>
    <row r="23" spans="1:18">
      <c r="A23" s="97" t="s">
        <v>8</v>
      </c>
      <c r="B23" s="1">
        <v>1</v>
      </c>
      <c r="C23" s="1">
        <v>1</v>
      </c>
      <c r="D23" s="1">
        <v>0.02</v>
      </c>
      <c r="E23" s="84" t="s">
        <v>27</v>
      </c>
      <c r="F23" s="3">
        <v>20</v>
      </c>
      <c r="G23" s="1">
        <f>B23*C23*D23*F23</f>
        <v>0.4</v>
      </c>
    </row>
    <row r="24" spans="1:18">
      <c r="A24" s="8" t="s">
        <v>7</v>
      </c>
      <c r="B24" s="9"/>
      <c r="C24" s="9"/>
      <c r="D24" s="9"/>
      <c r="E24" s="9"/>
      <c r="F24" s="9"/>
      <c r="G24" s="217">
        <f>SUM(G21:G23,)</f>
        <v>1.56</v>
      </c>
    </row>
    <row r="26" spans="1:18">
      <c r="A26" s="11"/>
      <c r="B26" s="12"/>
      <c r="C26" s="12"/>
      <c r="D26" s="12"/>
      <c r="E26" s="12"/>
      <c r="F26" s="12"/>
      <c r="G26" s="11"/>
    </row>
    <row r="27" spans="1:18" ht="15.75" thickBot="1">
      <c r="A27" s="286" t="s">
        <v>28</v>
      </c>
      <c r="B27" s="292"/>
      <c r="C27" s="292"/>
      <c r="D27" s="292"/>
      <c r="E27" s="292"/>
      <c r="F27" s="292"/>
      <c r="G27" s="293"/>
      <c r="L27" s="286" t="s">
        <v>28</v>
      </c>
      <c r="M27" s="287"/>
      <c r="N27" s="287"/>
      <c r="O27" s="287"/>
      <c r="P27" s="287"/>
      <c r="Q27" s="294"/>
      <c r="R27" s="50"/>
    </row>
    <row r="28" spans="1:18" ht="18" thickBot="1">
      <c r="A28" s="95" t="s">
        <v>15</v>
      </c>
      <c r="B28" s="95" t="s">
        <v>11</v>
      </c>
      <c r="C28" s="151" t="s">
        <v>12</v>
      </c>
      <c r="D28" s="145" t="s">
        <v>13</v>
      </c>
      <c r="E28" s="145"/>
      <c r="F28" s="112" t="s">
        <v>6</v>
      </c>
      <c r="G28" s="146" t="s">
        <v>32</v>
      </c>
      <c r="I28" s="13" t="s">
        <v>50</v>
      </c>
      <c r="J28" s="15">
        <f>3.2-0.34</f>
        <v>2.8600000000000003</v>
      </c>
      <c r="L28" s="98" t="s">
        <v>15</v>
      </c>
      <c r="M28" s="98" t="s">
        <v>11</v>
      </c>
      <c r="N28" s="152" t="s">
        <v>12</v>
      </c>
      <c r="O28" s="98" t="s">
        <v>13</v>
      </c>
      <c r="P28" s="111" t="s">
        <v>6</v>
      </c>
      <c r="Q28" s="153" t="s">
        <v>32</v>
      </c>
    </row>
    <row r="29" spans="1:18">
      <c r="A29" s="95" t="s">
        <v>16</v>
      </c>
      <c r="B29" s="4">
        <f>J28</f>
        <v>2.8600000000000003</v>
      </c>
      <c r="C29" s="215">
        <f>0.08+0.12</f>
        <v>0.2</v>
      </c>
      <c r="D29" s="215">
        <v>1</v>
      </c>
      <c r="E29" s="5"/>
      <c r="F29" s="215">
        <v>6</v>
      </c>
      <c r="G29" s="1">
        <f>B29*C29*D29*F29</f>
        <v>3.4320000000000004</v>
      </c>
      <c r="L29" s="95" t="s">
        <v>16</v>
      </c>
      <c r="M29" s="4">
        <f>$J$28</f>
        <v>2.8600000000000003</v>
      </c>
      <c r="N29" s="215">
        <f>0.08</f>
        <v>0.08</v>
      </c>
      <c r="O29" s="215">
        <v>1</v>
      </c>
      <c r="P29" s="215">
        <v>6</v>
      </c>
      <c r="Q29" s="1">
        <f>M29*N29*O29*P29</f>
        <v>1.3728000000000002</v>
      </c>
    </row>
    <row r="30" spans="1:18">
      <c r="A30" s="97" t="s">
        <v>8</v>
      </c>
      <c r="B30" s="4">
        <f>J28</f>
        <v>2.8600000000000003</v>
      </c>
      <c r="C30" s="1">
        <f>0.03+0.01</f>
        <v>0.04</v>
      </c>
      <c r="D30" s="1">
        <v>1</v>
      </c>
      <c r="E30" s="1"/>
      <c r="F30" s="1">
        <v>20</v>
      </c>
      <c r="G30" s="1">
        <f>B30*C30*D30*F30</f>
        <v>2.2880000000000003</v>
      </c>
      <c r="L30" s="97" t="s">
        <v>8</v>
      </c>
      <c r="M30" s="4">
        <f>$J$28</f>
        <v>2.8600000000000003</v>
      </c>
      <c r="N30" s="1">
        <f>0.02</f>
        <v>0.02</v>
      </c>
      <c r="O30" s="1">
        <v>1</v>
      </c>
      <c r="P30" s="1">
        <v>20</v>
      </c>
      <c r="Q30" s="1">
        <f>M30*N30*O30*P30</f>
        <v>1.1440000000000001</v>
      </c>
    </row>
    <row r="31" spans="1:18">
      <c r="A31" s="8" t="s">
        <v>7</v>
      </c>
      <c r="B31" s="154"/>
      <c r="C31" s="9"/>
      <c r="D31" s="9"/>
      <c r="E31" s="9"/>
      <c r="F31" s="9"/>
      <c r="G31" s="217">
        <f>SUM(G29:G30)</f>
        <v>5.7200000000000006</v>
      </c>
      <c r="L31" s="8" t="s">
        <v>7</v>
      </c>
      <c r="M31" s="9"/>
      <c r="N31" s="9"/>
      <c r="O31" s="9"/>
      <c r="P31" s="9"/>
      <c r="Q31" s="217">
        <f>SUM(Q29:Q30)</f>
        <v>2.5168000000000004</v>
      </c>
    </row>
    <row r="32" spans="1:18">
      <c r="G32" s="84"/>
    </row>
    <row r="33" spans="1:15" ht="15.75" thickBot="1">
      <c r="A33" s="286" t="s">
        <v>36</v>
      </c>
      <c r="B33" s="292"/>
      <c r="C33" s="292"/>
      <c r="D33" s="292"/>
      <c r="E33" s="292"/>
      <c r="F33" s="292"/>
      <c r="G33" s="293"/>
      <c r="I33" s="286" t="s">
        <v>206</v>
      </c>
      <c r="J33" s="292"/>
      <c r="K33" s="292"/>
      <c r="L33" s="292"/>
      <c r="M33" s="292"/>
      <c r="N33" s="292"/>
      <c r="O33" s="293"/>
    </row>
    <row r="34" spans="1:15" ht="17.25" customHeight="1" thickBot="1">
      <c r="A34" s="155"/>
      <c r="B34" s="156" t="s">
        <v>86</v>
      </c>
      <c r="C34" s="95" t="s">
        <v>11</v>
      </c>
      <c r="D34" s="95" t="s">
        <v>13</v>
      </c>
      <c r="E34" s="157"/>
      <c r="F34" s="112" t="s">
        <v>6</v>
      </c>
      <c r="G34" s="146" t="s">
        <v>32</v>
      </c>
      <c r="I34" s="155"/>
      <c r="J34" s="156" t="s">
        <v>86</v>
      </c>
      <c r="K34" s="95" t="s">
        <v>11</v>
      </c>
      <c r="L34" s="145" t="s">
        <v>13</v>
      </c>
      <c r="M34" s="157"/>
      <c r="N34" s="158" t="s">
        <v>6</v>
      </c>
      <c r="O34" s="146" t="s">
        <v>32</v>
      </c>
    </row>
    <row r="35" spans="1:15" ht="15.75" thickBot="1">
      <c r="A35" s="159"/>
      <c r="B35" s="218">
        <v>0.3</v>
      </c>
      <c r="C35" s="216">
        <v>0.6</v>
      </c>
      <c r="D35" s="215">
        <v>1</v>
      </c>
      <c r="E35" s="215"/>
      <c r="F35" s="215">
        <v>25</v>
      </c>
      <c r="G35" s="160">
        <f>B35*C35*F35</f>
        <v>4.5</v>
      </c>
      <c r="I35" s="159"/>
      <c r="J35" s="218">
        <v>0.3</v>
      </c>
      <c r="K35" s="216">
        <v>0.5</v>
      </c>
      <c r="L35" s="216">
        <v>1</v>
      </c>
      <c r="M35" s="216"/>
      <c r="N35" s="216">
        <v>25</v>
      </c>
      <c r="O35" s="67">
        <f>J35*K35*N35</f>
        <v>3.75</v>
      </c>
    </row>
    <row r="36" spans="1:15" ht="15.75" thickBot="1">
      <c r="A36" s="155"/>
      <c r="B36" s="156"/>
      <c r="C36" s="112"/>
      <c r="D36" s="161"/>
      <c r="E36" s="162" t="s">
        <v>208</v>
      </c>
      <c r="F36" s="112"/>
      <c r="G36" s="148"/>
      <c r="I36" s="155"/>
      <c r="J36" s="156"/>
      <c r="K36" s="112"/>
      <c r="L36" s="161"/>
      <c r="M36" s="163" t="s">
        <v>208</v>
      </c>
      <c r="N36" s="112"/>
      <c r="O36" s="148"/>
    </row>
    <row r="37" spans="1:15">
      <c r="A37" s="98" t="s">
        <v>209</v>
      </c>
      <c r="B37" s="51">
        <v>0.3</v>
      </c>
      <c r="C37" s="216">
        <v>1</v>
      </c>
      <c r="D37" s="84" t="s">
        <v>27</v>
      </c>
      <c r="E37" s="122">
        <f>G6</f>
        <v>2.65</v>
      </c>
      <c r="F37" s="26" t="s">
        <v>27</v>
      </c>
      <c r="G37" s="15">
        <f>B37*C37*E37</f>
        <v>0.79499999999999993</v>
      </c>
      <c r="I37" s="98" t="s">
        <v>209</v>
      </c>
      <c r="J37" s="51">
        <v>0.3</v>
      </c>
      <c r="K37" s="216">
        <v>1</v>
      </c>
      <c r="L37" s="84" t="s">
        <v>27</v>
      </c>
      <c r="M37" s="122">
        <f>G6</f>
        <v>2.65</v>
      </c>
      <c r="N37" s="26" t="s">
        <v>27</v>
      </c>
      <c r="O37" s="15">
        <f>J37*K37*M37</f>
        <v>0.79499999999999993</v>
      </c>
    </row>
    <row r="38" spans="1:15" ht="15.75" thickBot="1">
      <c r="A38" s="8" t="s">
        <v>7</v>
      </c>
      <c r="B38" s="9"/>
      <c r="C38" s="9"/>
      <c r="D38" s="9"/>
      <c r="E38" s="9"/>
      <c r="F38" s="9"/>
      <c r="G38" s="164">
        <f>G35-G37</f>
        <v>3.7050000000000001</v>
      </c>
      <c r="I38" s="8" t="s">
        <v>7</v>
      </c>
      <c r="J38" s="9"/>
      <c r="K38" s="9"/>
      <c r="L38" s="9"/>
      <c r="M38" s="9"/>
      <c r="N38" s="9"/>
      <c r="O38" s="165">
        <f>O35-O37</f>
        <v>2.9550000000000001</v>
      </c>
    </row>
    <row r="40" spans="1:15" ht="15.75" thickBot="1">
      <c r="A40" s="286" t="s">
        <v>210</v>
      </c>
      <c r="B40" s="292"/>
      <c r="C40" s="292"/>
      <c r="D40" s="292"/>
      <c r="E40" s="292"/>
      <c r="F40" s="292"/>
      <c r="G40" s="293"/>
      <c r="I40" s="166"/>
      <c r="J40" s="50"/>
      <c r="K40" s="50"/>
      <c r="L40" s="50"/>
      <c r="M40" s="50"/>
      <c r="N40" s="50"/>
      <c r="O40" s="50"/>
    </row>
    <row r="41" spans="1:15" ht="18" thickBot="1">
      <c r="A41" s="155"/>
      <c r="B41" s="156" t="s">
        <v>11</v>
      </c>
      <c r="C41" s="95" t="s">
        <v>86</v>
      </c>
      <c r="D41" s="145" t="s">
        <v>13</v>
      </c>
      <c r="E41" s="157"/>
      <c r="F41" s="158" t="s">
        <v>6</v>
      </c>
      <c r="G41" s="146" t="s">
        <v>32</v>
      </c>
      <c r="I41" s="50"/>
      <c r="J41" s="11"/>
      <c r="K41" s="11"/>
      <c r="L41" s="12"/>
      <c r="M41" s="50"/>
      <c r="N41" s="50"/>
      <c r="O41" s="49"/>
    </row>
    <row r="42" spans="1:15" ht="15.75" thickBot="1">
      <c r="A42" s="159"/>
      <c r="B42" s="216">
        <v>0.22</v>
      </c>
      <c r="C42" s="216">
        <v>0.7</v>
      </c>
      <c r="D42" s="216">
        <v>1</v>
      </c>
      <c r="E42" s="216"/>
      <c r="F42" s="216">
        <v>25</v>
      </c>
      <c r="G42" s="67">
        <f>B42*C42*D42*F42</f>
        <v>3.85</v>
      </c>
      <c r="I42" s="50"/>
      <c r="J42" s="11"/>
      <c r="K42" s="11"/>
      <c r="L42" s="11"/>
      <c r="M42" s="11"/>
      <c r="N42" s="11"/>
      <c r="O42" s="11"/>
    </row>
    <row r="43" spans="1:15" ht="15.75" thickBot="1">
      <c r="A43" s="155"/>
      <c r="B43" s="156"/>
      <c r="C43" s="112"/>
      <c r="D43" s="161"/>
      <c r="E43" s="162" t="s">
        <v>208</v>
      </c>
      <c r="F43" s="112"/>
      <c r="G43" s="148"/>
      <c r="I43" s="50"/>
      <c r="J43" s="11"/>
      <c r="K43" s="11"/>
      <c r="L43" s="138"/>
      <c r="M43" s="138"/>
      <c r="N43" s="11"/>
      <c r="O43" s="11"/>
    </row>
    <row r="44" spans="1:15">
      <c r="A44" s="98" t="s">
        <v>209</v>
      </c>
      <c r="B44" s="51">
        <v>0.3</v>
      </c>
      <c r="C44" s="216">
        <v>1</v>
      </c>
      <c r="D44" s="84" t="s">
        <v>27</v>
      </c>
      <c r="E44" s="122">
        <f>G6</f>
        <v>2.65</v>
      </c>
      <c r="F44" s="26" t="s">
        <v>27</v>
      </c>
      <c r="G44" s="167">
        <f>B44*C44*E44</f>
        <v>0.79499999999999993</v>
      </c>
      <c r="I44" s="11"/>
      <c r="J44" s="11"/>
      <c r="K44" s="11"/>
      <c r="L44" s="11"/>
      <c r="M44" s="11"/>
      <c r="N44" s="11"/>
      <c r="O44" s="11"/>
    </row>
    <row r="45" spans="1:15" ht="15.75" thickBot="1">
      <c r="A45" s="8" t="s">
        <v>7</v>
      </c>
      <c r="B45" s="9"/>
      <c r="C45" s="9"/>
      <c r="D45" s="9"/>
      <c r="E45" s="9"/>
      <c r="F45" s="9"/>
      <c r="G45" s="164">
        <f>G42-G44</f>
        <v>3.0550000000000002</v>
      </c>
      <c r="I45" s="11"/>
      <c r="J45" s="12"/>
      <c r="K45" s="12"/>
      <c r="L45" s="12"/>
      <c r="M45" s="12"/>
      <c r="N45" s="12"/>
      <c r="O45" s="11"/>
    </row>
    <row r="46" spans="1:15">
      <c r="A46" s="50"/>
      <c r="B46" s="82"/>
      <c r="C46" s="82"/>
      <c r="D46" s="82"/>
      <c r="E46" s="82"/>
      <c r="F46" s="82"/>
      <c r="G46" s="11"/>
    </row>
    <row r="47" spans="1:15" ht="21">
      <c r="A47" s="277" t="s">
        <v>211</v>
      </c>
      <c r="B47" s="278"/>
      <c r="C47" s="278"/>
      <c r="D47" s="278"/>
      <c r="E47" s="278"/>
      <c r="F47" s="278"/>
      <c r="G47" s="278"/>
      <c r="H47" s="278"/>
      <c r="I47" s="278"/>
      <c r="J47" s="278"/>
      <c r="K47" s="279"/>
    </row>
    <row r="48" spans="1:15" ht="18">
      <c r="A48" s="108"/>
      <c r="B48" s="214" t="s">
        <v>37</v>
      </c>
      <c r="C48" s="94" t="s">
        <v>38</v>
      </c>
      <c r="D48" s="94" t="s">
        <v>39</v>
      </c>
      <c r="E48" s="94" t="s">
        <v>40</v>
      </c>
      <c r="F48" s="94" t="s">
        <v>41</v>
      </c>
      <c r="G48" s="94" t="s">
        <v>42</v>
      </c>
      <c r="H48" s="94" t="s">
        <v>43</v>
      </c>
      <c r="I48" s="96" t="s">
        <v>57</v>
      </c>
      <c r="J48" s="96" t="s">
        <v>56</v>
      </c>
      <c r="K48" s="94" t="s">
        <v>55</v>
      </c>
    </row>
    <row r="49" spans="1:21" ht="17.25">
      <c r="A49" s="168" t="s">
        <v>212</v>
      </c>
      <c r="B49" s="7">
        <f>G6+G11</f>
        <v>4.09</v>
      </c>
      <c r="C49" s="215">
        <v>1.2</v>
      </c>
      <c r="D49" s="215">
        <v>2</v>
      </c>
      <c r="E49" s="7">
        <f>1.3*B49</f>
        <v>5.3170000000000002</v>
      </c>
      <c r="F49" s="215">
        <f>1.5*C49</f>
        <v>1.7999999999999998</v>
      </c>
      <c r="G49" s="215">
        <f>1.5*D49</f>
        <v>3</v>
      </c>
      <c r="H49" s="23">
        <f>E49+G49+F49</f>
        <v>10.117000000000001</v>
      </c>
      <c r="I49" s="215">
        <v>0.3</v>
      </c>
      <c r="J49" s="215">
        <f>I49*D49</f>
        <v>0.6</v>
      </c>
      <c r="K49" s="27">
        <f>(B49+C49)+J49</f>
        <v>5.89</v>
      </c>
    </row>
    <row r="50" spans="1:21" ht="17.25">
      <c r="A50" s="168" t="s">
        <v>213</v>
      </c>
      <c r="B50" s="1">
        <f>G19+G24</f>
        <v>4.21</v>
      </c>
      <c r="C50" s="1" t="s">
        <v>27</v>
      </c>
      <c r="D50" s="1">
        <v>4</v>
      </c>
      <c r="E50" s="30">
        <f>1.3*B50</f>
        <v>5.4729999999999999</v>
      </c>
      <c r="F50" s="1" t="s">
        <v>27</v>
      </c>
      <c r="G50" s="1">
        <f>1.5*D50</f>
        <v>6</v>
      </c>
      <c r="H50" s="24">
        <f>E50+G50</f>
        <v>11.472999999999999</v>
      </c>
      <c r="I50" s="1">
        <v>0.6</v>
      </c>
      <c r="J50" s="1">
        <f>I50*D50</f>
        <v>2.4</v>
      </c>
      <c r="K50" s="4">
        <f>B50+0.6*D50</f>
        <v>6.6099999999999994</v>
      </c>
    </row>
    <row r="51" spans="1:21">
      <c r="A51" s="168" t="s">
        <v>214</v>
      </c>
      <c r="B51" s="1">
        <f>G31</f>
        <v>5.7200000000000006</v>
      </c>
      <c r="C51" s="1" t="s">
        <v>27</v>
      </c>
      <c r="D51" s="1" t="s">
        <v>27</v>
      </c>
      <c r="E51" s="30">
        <f>1.3*B51</f>
        <v>7.4360000000000008</v>
      </c>
      <c r="F51" s="56" t="s">
        <v>27</v>
      </c>
      <c r="G51" s="56" t="s">
        <v>27</v>
      </c>
      <c r="H51" s="169">
        <f>E51</f>
        <v>7.4360000000000008</v>
      </c>
      <c r="I51" s="1" t="s">
        <v>27</v>
      </c>
      <c r="J51" s="1" t="s">
        <v>27</v>
      </c>
      <c r="K51" s="28">
        <f>B51</f>
        <v>5.7200000000000006</v>
      </c>
    </row>
    <row r="52" spans="1:21">
      <c r="A52" s="168" t="s">
        <v>215</v>
      </c>
      <c r="B52" s="30">
        <f>G45</f>
        <v>3.0550000000000002</v>
      </c>
      <c r="C52" s="1" t="s">
        <v>27</v>
      </c>
      <c r="D52" s="1" t="s">
        <v>27</v>
      </c>
      <c r="E52" s="1">
        <f>1.3*B52</f>
        <v>3.9715000000000003</v>
      </c>
      <c r="F52" s="20" t="s">
        <v>27</v>
      </c>
      <c r="G52" s="20" t="s">
        <v>27</v>
      </c>
      <c r="H52" s="25">
        <f>E52</f>
        <v>3.9715000000000003</v>
      </c>
      <c r="I52" s="20" t="s">
        <v>27</v>
      </c>
      <c r="J52" s="1" t="s">
        <v>27</v>
      </c>
      <c r="K52" s="28">
        <f>B52</f>
        <v>3.0550000000000002</v>
      </c>
    </row>
    <row r="53" spans="1:21">
      <c r="A53" s="168" t="s">
        <v>216</v>
      </c>
      <c r="B53" s="30">
        <f>O38</f>
        <v>2.9550000000000001</v>
      </c>
      <c r="C53" s="1" t="s">
        <v>27</v>
      </c>
      <c r="D53" s="1" t="s">
        <v>27</v>
      </c>
      <c r="E53" s="30">
        <f>B53*1.3</f>
        <v>3.8415000000000004</v>
      </c>
      <c r="F53" s="20" t="s">
        <v>27</v>
      </c>
      <c r="G53" s="20" t="s">
        <v>27</v>
      </c>
      <c r="H53" s="169">
        <f>E53</f>
        <v>3.8415000000000004</v>
      </c>
      <c r="I53" s="20" t="s">
        <v>27</v>
      </c>
      <c r="J53" s="1" t="s">
        <v>27</v>
      </c>
      <c r="K53" s="170">
        <f>B53</f>
        <v>2.9550000000000001</v>
      </c>
    </row>
    <row r="54" spans="1:21">
      <c r="A54" s="168" t="s">
        <v>217</v>
      </c>
      <c r="B54" s="30">
        <f>G38</f>
        <v>3.7050000000000001</v>
      </c>
      <c r="C54" s="30" t="s">
        <v>27</v>
      </c>
      <c r="D54" s="30" t="s">
        <v>27</v>
      </c>
      <c r="E54" s="30">
        <f>1.3*B54</f>
        <v>4.8165000000000004</v>
      </c>
      <c r="F54" s="20" t="s">
        <v>27</v>
      </c>
      <c r="G54" s="20" t="s">
        <v>27</v>
      </c>
      <c r="H54" s="169">
        <f>E54</f>
        <v>4.8165000000000004</v>
      </c>
      <c r="I54" s="20" t="s">
        <v>27</v>
      </c>
      <c r="J54" s="1" t="s">
        <v>27</v>
      </c>
      <c r="K54" s="170">
        <f>B54</f>
        <v>3.7050000000000001</v>
      </c>
    </row>
    <row r="55" spans="1:21" ht="17.25">
      <c r="A55" s="168" t="s">
        <v>218</v>
      </c>
      <c r="B55" s="2">
        <v>4.8</v>
      </c>
      <c r="C55" s="2" t="s">
        <v>27</v>
      </c>
      <c r="D55" s="2">
        <v>4</v>
      </c>
      <c r="E55" s="2">
        <f>1.3*B55</f>
        <v>6.24</v>
      </c>
      <c r="F55" s="21" t="s">
        <v>27</v>
      </c>
      <c r="G55" s="21">
        <f>D55*1.5</f>
        <v>6</v>
      </c>
      <c r="H55" s="26">
        <f>E55+G55</f>
        <v>12.24</v>
      </c>
      <c r="I55" s="2">
        <v>0.6</v>
      </c>
      <c r="J55" s="2">
        <f>I55*D55</f>
        <v>2.4</v>
      </c>
      <c r="K55" s="29">
        <f>B55+J55</f>
        <v>7.1999999999999993</v>
      </c>
    </row>
    <row r="57" spans="1:21" ht="15.75" thickBot="1"/>
    <row r="58" spans="1:21" ht="15.75" thickBot="1">
      <c r="A58" s="297" t="s">
        <v>219</v>
      </c>
      <c r="B58" s="298"/>
      <c r="C58" s="286" t="s">
        <v>44</v>
      </c>
      <c r="D58" s="292"/>
      <c r="E58" s="292"/>
      <c r="F58" s="292"/>
      <c r="G58" s="292"/>
      <c r="H58" s="292"/>
      <c r="I58" s="106"/>
      <c r="J58" s="106"/>
      <c r="K58" s="106"/>
      <c r="L58" s="106"/>
      <c r="M58" s="171"/>
      <c r="O58" s="172" t="s">
        <v>62</v>
      </c>
      <c r="P58" s="173"/>
      <c r="Q58" s="173"/>
      <c r="R58" s="174" t="s">
        <v>85</v>
      </c>
      <c r="S58" s="227"/>
      <c r="T58" s="12"/>
      <c r="U58" s="12"/>
    </row>
    <row r="59" spans="1:21" ht="18">
      <c r="A59" s="175"/>
      <c r="B59" s="176" t="s">
        <v>18</v>
      </c>
      <c r="C59" s="177" t="s">
        <v>19</v>
      </c>
      <c r="D59" s="98" t="s">
        <v>20</v>
      </c>
      <c r="E59" s="98" t="s">
        <v>21</v>
      </c>
      <c r="F59" s="98" t="s">
        <v>118</v>
      </c>
      <c r="G59" s="98" t="s">
        <v>92</v>
      </c>
      <c r="H59" s="98" t="s">
        <v>24</v>
      </c>
      <c r="I59" s="178" t="s">
        <v>43</v>
      </c>
      <c r="J59" s="178" t="s">
        <v>65</v>
      </c>
      <c r="K59" s="178" t="s">
        <v>59</v>
      </c>
      <c r="L59" s="178" t="s">
        <v>57</v>
      </c>
      <c r="M59" s="178" t="s">
        <v>55</v>
      </c>
      <c r="O59" s="179"/>
      <c r="P59" s="180"/>
      <c r="Q59" s="98" t="s">
        <v>69</v>
      </c>
      <c r="R59" s="98" t="s">
        <v>66</v>
      </c>
      <c r="S59" s="98" t="s">
        <v>67</v>
      </c>
      <c r="T59" s="11"/>
      <c r="U59" s="11"/>
    </row>
    <row r="60" spans="1:21">
      <c r="A60" s="145" t="s">
        <v>17</v>
      </c>
      <c r="B60" s="215">
        <v>1</v>
      </c>
      <c r="C60" s="215" t="s">
        <v>27</v>
      </c>
      <c r="D60" s="215">
        <v>4.5999999999999996</v>
      </c>
      <c r="E60" s="215" t="s">
        <v>27</v>
      </c>
      <c r="F60" s="22">
        <f>B60*(D60/2)</f>
        <v>2.2999999999999998</v>
      </c>
      <c r="G60" s="7">
        <f>(E49+F49)*F60</f>
        <v>16.3691</v>
      </c>
      <c r="H60" s="215">
        <f>G49*F60</f>
        <v>6.8999999999999995</v>
      </c>
      <c r="I60" s="7">
        <f>G60+H60</f>
        <v>23.269099999999998</v>
      </c>
      <c r="J60" s="7">
        <f>(B49+C49)*F60</f>
        <v>12.167</v>
      </c>
      <c r="K60" s="215">
        <f>D49*F60</f>
        <v>4.5999999999999996</v>
      </c>
      <c r="L60" s="215">
        <v>0.3</v>
      </c>
      <c r="M60" s="7">
        <f>J60+L60*K60</f>
        <v>13.547000000000001</v>
      </c>
      <c r="O60" s="145" t="s">
        <v>60</v>
      </c>
      <c r="P60" s="145"/>
      <c r="Q60" s="35">
        <f>I64*(S60)^2/10</f>
        <v>111.57900759999998</v>
      </c>
      <c r="R60" s="216">
        <v>1.7000000000000001E-2</v>
      </c>
      <c r="S60" s="216">
        <v>4.5999999999999996</v>
      </c>
      <c r="T60" s="11"/>
      <c r="U60" s="53"/>
    </row>
    <row r="61" spans="1:21">
      <c r="A61" s="145" t="s">
        <v>22</v>
      </c>
      <c r="B61" s="3" t="s">
        <v>27</v>
      </c>
      <c r="C61" s="1" t="s">
        <v>27</v>
      </c>
      <c r="D61" s="4" t="s">
        <v>27</v>
      </c>
      <c r="E61" s="1">
        <v>1.5</v>
      </c>
      <c r="F61" s="58">
        <f>E61</f>
        <v>1.5</v>
      </c>
      <c r="G61" s="30">
        <f>E50*F61</f>
        <v>8.2095000000000002</v>
      </c>
      <c r="H61" s="1">
        <f>G50*F61</f>
        <v>9</v>
      </c>
      <c r="I61" s="30">
        <f>G61+H61</f>
        <v>17.209499999999998</v>
      </c>
      <c r="J61" s="30">
        <f>B50*F61</f>
        <v>6.3149999999999995</v>
      </c>
      <c r="K61" s="1">
        <f>D50*F61</f>
        <v>6</v>
      </c>
      <c r="L61" s="1">
        <v>0.6</v>
      </c>
      <c r="M61" s="30">
        <f>J61+L61*K61</f>
        <v>9.9149999999999991</v>
      </c>
      <c r="O61" s="168" t="s">
        <v>61</v>
      </c>
      <c r="P61" s="145"/>
      <c r="Q61" s="36">
        <f>M64*S61^2/10</f>
        <v>69.588891999999987</v>
      </c>
      <c r="R61" s="216">
        <v>1.7000000000000001E-2</v>
      </c>
      <c r="S61" s="216">
        <v>4.5999999999999996</v>
      </c>
      <c r="T61" s="11"/>
      <c r="U61" s="53"/>
    </row>
    <row r="62" spans="1:21">
      <c r="A62" s="145" t="s">
        <v>45</v>
      </c>
      <c r="B62" s="1" t="s">
        <v>27</v>
      </c>
      <c r="C62" s="1" t="s">
        <v>27</v>
      </c>
      <c r="D62" s="1" t="s">
        <v>27</v>
      </c>
      <c r="E62" s="1" t="s">
        <v>27</v>
      </c>
      <c r="F62" s="1" t="s">
        <v>27</v>
      </c>
      <c r="G62" s="30">
        <f>E51</f>
        <v>7.4360000000000008</v>
      </c>
      <c r="H62" s="1" t="s">
        <v>27</v>
      </c>
      <c r="I62" s="30">
        <f>G62</f>
        <v>7.4360000000000008</v>
      </c>
      <c r="J62" s="20">
        <f>B51</f>
        <v>5.7200000000000006</v>
      </c>
      <c r="K62" s="20" t="s">
        <v>27</v>
      </c>
      <c r="L62" s="20" t="s">
        <v>27</v>
      </c>
      <c r="M62" s="30">
        <f>J62</f>
        <v>5.7200000000000006</v>
      </c>
    </row>
    <row r="63" spans="1:21" ht="15.75" thickBot="1">
      <c r="A63" s="181" t="s">
        <v>25</v>
      </c>
      <c r="B63" s="1" t="s">
        <v>27</v>
      </c>
      <c r="C63" s="1" t="s">
        <v>27</v>
      </c>
      <c r="D63" s="1" t="s">
        <v>27</v>
      </c>
      <c r="E63" s="1" t="s">
        <v>27</v>
      </c>
      <c r="F63" s="1" t="s">
        <v>27</v>
      </c>
      <c r="G63" s="30">
        <f>E54</f>
        <v>4.8165000000000004</v>
      </c>
      <c r="H63" s="1" t="s">
        <v>27</v>
      </c>
      <c r="I63" s="30">
        <f>G63</f>
        <v>4.8165000000000004</v>
      </c>
      <c r="J63" s="20">
        <f>B54</f>
        <v>3.7050000000000001</v>
      </c>
      <c r="K63" s="20" t="s">
        <v>27</v>
      </c>
      <c r="L63" s="20" t="s">
        <v>27</v>
      </c>
      <c r="M63" s="30">
        <f>J63</f>
        <v>3.7050000000000001</v>
      </c>
    </row>
    <row r="64" spans="1:21" ht="15.75" thickBot="1">
      <c r="A64" s="18" t="s">
        <v>7</v>
      </c>
      <c r="B64" s="9"/>
      <c r="C64" s="9"/>
      <c r="D64" s="9"/>
      <c r="E64" s="9"/>
      <c r="F64" s="9"/>
      <c r="G64" s="9"/>
      <c r="H64" s="9"/>
      <c r="I64" s="33">
        <f>SUM(I60:I63)</f>
        <v>52.731099999999998</v>
      </c>
      <c r="J64" s="9"/>
      <c r="K64" s="9"/>
      <c r="L64" s="9"/>
      <c r="M64" s="33">
        <f>SUM(M60:M63)</f>
        <v>32.887</v>
      </c>
      <c r="N64" s="182" t="s">
        <v>68</v>
      </c>
    </row>
    <row r="66" spans="1:22" ht="15.75" thickBot="1"/>
    <row r="67" spans="1:22" ht="15.75" thickBot="1">
      <c r="A67" s="297" t="s">
        <v>220</v>
      </c>
      <c r="B67" s="298"/>
      <c r="C67" s="286" t="s">
        <v>63</v>
      </c>
      <c r="D67" s="292"/>
      <c r="E67" s="292"/>
      <c r="F67" s="292"/>
      <c r="G67" s="292"/>
      <c r="H67" s="292"/>
      <c r="I67" s="106"/>
      <c r="J67" s="106"/>
      <c r="K67" s="106"/>
      <c r="L67" s="106"/>
      <c r="M67" s="171"/>
      <c r="O67" s="172" t="s">
        <v>70</v>
      </c>
      <c r="P67" s="173"/>
      <c r="Q67" s="173"/>
      <c r="R67" s="174" t="s">
        <v>71</v>
      </c>
      <c r="S67" s="173"/>
      <c r="T67" s="173"/>
      <c r="U67" s="173"/>
      <c r="V67" s="226"/>
    </row>
    <row r="68" spans="1:22" ht="18">
      <c r="A68" s="175"/>
      <c r="B68" s="176" t="s">
        <v>18</v>
      </c>
      <c r="C68" s="177" t="s">
        <v>19</v>
      </c>
      <c r="D68" s="98" t="s">
        <v>64</v>
      </c>
      <c r="E68" s="98" t="s">
        <v>21</v>
      </c>
      <c r="F68" s="98" t="s">
        <v>118</v>
      </c>
      <c r="G68" s="98" t="s">
        <v>23</v>
      </c>
      <c r="H68" s="98" t="s">
        <v>24</v>
      </c>
      <c r="I68" s="178" t="s">
        <v>43</v>
      </c>
      <c r="J68" s="178" t="s">
        <v>58</v>
      </c>
      <c r="K68" s="178" t="s">
        <v>59</v>
      </c>
      <c r="L68" s="178" t="s">
        <v>57</v>
      </c>
      <c r="M68" s="178" t="s">
        <v>55</v>
      </c>
      <c r="O68" s="179"/>
      <c r="P68" s="180"/>
      <c r="Q68" s="98" t="s">
        <v>69</v>
      </c>
      <c r="R68" s="98" t="s">
        <v>111</v>
      </c>
      <c r="S68" s="98" t="s">
        <v>67</v>
      </c>
      <c r="T68" s="98" t="s">
        <v>73</v>
      </c>
      <c r="U68" s="98" t="s">
        <v>74</v>
      </c>
      <c r="V68" s="98" t="s">
        <v>72</v>
      </c>
    </row>
    <row r="69" spans="1:22">
      <c r="A69" s="145" t="s">
        <v>17</v>
      </c>
      <c r="B69" s="215">
        <v>1</v>
      </c>
      <c r="C69" s="215" t="s">
        <v>27</v>
      </c>
      <c r="D69" s="215">
        <v>3.6</v>
      </c>
      <c r="E69" s="215">
        <v>1.5</v>
      </c>
      <c r="F69" s="22">
        <f>B69*(D69/2)</f>
        <v>1.8</v>
      </c>
      <c r="G69" s="31">
        <f>F69*(E49+F49)</f>
        <v>12.810600000000001</v>
      </c>
      <c r="H69" s="215">
        <f>G49*F69</f>
        <v>5.4</v>
      </c>
      <c r="I69" s="31">
        <f>G69+H69</f>
        <v>18.210599999999999</v>
      </c>
      <c r="J69" s="7">
        <f>(B49+C49)*F69</f>
        <v>9.5220000000000002</v>
      </c>
      <c r="K69" s="215">
        <f>D49*F69</f>
        <v>3.6</v>
      </c>
      <c r="L69" s="215">
        <v>0.3</v>
      </c>
      <c r="M69" s="215">
        <f>J69+L69*K69</f>
        <v>10.602</v>
      </c>
      <c r="O69" s="179" t="s">
        <v>60</v>
      </c>
      <c r="P69" s="180"/>
      <c r="Q69" s="37">
        <f>I73*S69^2/10</f>
        <v>51.0515136</v>
      </c>
      <c r="R69" s="216">
        <v>0.02</v>
      </c>
      <c r="S69" s="216">
        <v>3.6</v>
      </c>
      <c r="T69" s="216">
        <f>B42-U69</f>
        <v>0.18</v>
      </c>
      <c r="U69" s="216">
        <v>0.04</v>
      </c>
      <c r="V69" s="38">
        <f>(R69^2*Q69)/(T69)^2</f>
        <v>0.63026559999999998</v>
      </c>
    </row>
    <row r="70" spans="1:22">
      <c r="A70" s="145" t="s">
        <v>22</v>
      </c>
      <c r="B70" s="1" t="s">
        <v>27</v>
      </c>
      <c r="C70" s="1" t="s">
        <v>27</v>
      </c>
      <c r="D70" s="1">
        <v>3.6</v>
      </c>
      <c r="E70" s="1">
        <v>1.5</v>
      </c>
      <c r="F70" s="58">
        <f>E70</f>
        <v>1.5</v>
      </c>
      <c r="G70" s="32">
        <f>F70*(E50)</f>
        <v>8.2095000000000002</v>
      </c>
      <c r="H70" s="1">
        <f>G50*F70</f>
        <v>9</v>
      </c>
      <c r="I70" s="32">
        <f>G70+H70</f>
        <v>17.209499999999998</v>
      </c>
      <c r="J70" s="30">
        <f>B50*F70</f>
        <v>6.3149999999999995</v>
      </c>
      <c r="K70" s="1">
        <f>D50*F70</f>
        <v>6</v>
      </c>
      <c r="L70" s="1">
        <v>0.6</v>
      </c>
      <c r="M70" s="1">
        <f>J70+L70*K70</f>
        <v>9.9149999999999991</v>
      </c>
      <c r="O70" s="183" t="s">
        <v>61</v>
      </c>
      <c r="P70" s="180"/>
      <c r="Q70" s="38">
        <f>M73*S70^2/10</f>
        <v>30.549312000000004</v>
      </c>
      <c r="R70" s="216">
        <v>0.02</v>
      </c>
      <c r="S70" s="216">
        <v>3.6</v>
      </c>
      <c r="T70" s="216">
        <f>B42-U70</f>
        <v>0.18</v>
      </c>
      <c r="U70" s="216">
        <v>0.04</v>
      </c>
      <c r="V70" s="38">
        <f>(R70^2*Q70)/(T70)^2</f>
        <v>0.37715200000000004</v>
      </c>
    </row>
    <row r="71" spans="1:22">
      <c r="A71" s="145" t="s">
        <v>45</v>
      </c>
      <c r="B71" s="1" t="s">
        <v>27</v>
      </c>
      <c r="C71" s="1" t="s">
        <v>27</v>
      </c>
      <c r="D71" s="1" t="s">
        <v>27</v>
      </c>
      <c r="E71" s="20" t="s">
        <v>27</v>
      </c>
      <c r="F71" s="20" t="s">
        <v>27</v>
      </c>
      <c r="G71" s="32">
        <v>0</v>
      </c>
      <c r="H71" s="20" t="s">
        <v>27</v>
      </c>
      <c r="I71" s="32">
        <f>G71</f>
        <v>0</v>
      </c>
      <c r="J71" s="30">
        <v>0</v>
      </c>
      <c r="K71" s="1" t="s">
        <v>27</v>
      </c>
      <c r="L71" s="20" t="s">
        <v>27</v>
      </c>
      <c r="M71" s="30">
        <f>J71</f>
        <v>0</v>
      </c>
    </row>
    <row r="72" spans="1:22" ht="15.75" thickBot="1">
      <c r="A72" s="181" t="s">
        <v>25</v>
      </c>
      <c r="B72" s="1" t="s">
        <v>27</v>
      </c>
      <c r="C72" s="1" t="s">
        <v>27</v>
      </c>
      <c r="D72" s="1" t="s">
        <v>27</v>
      </c>
      <c r="E72" s="20" t="s">
        <v>27</v>
      </c>
      <c r="F72" s="20" t="s">
        <v>27</v>
      </c>
      <c r="G72" s="32">
        <f>E52</f>
        <v>3.9715000000000003</v>
      </c>
      <c r="H72" s="20" t="s">
        <v>27</v>
      </c>
      <c r="I72" s="32">
        <f>G72</f>
        <v>3.9715000000000003</v>
      </c>
      <c r="J72" s="30">
        <f>B52</f>
        <v>3.0550000000000002</v>
      </c>
      <c r="K72" s="1" t="s">
        <v>27</v>
      </c>
      <c r="L72" s="20" t="s">
        <v>27</v>
      </c>
      <c r="M72" s="30">
        <f>J72</f>
        <v>3.0550000000000002</v>
      </c>
    </row>
    <row r="73" spans="1:22" ht="15.75" thickBot="1">
      <c r="A73" s="18" t="s">
        <v>7</v>
      </c>
      <c r="B73" s="9"/>
      <c r="C73" s="9"/>
      <c r="D73" s="9"/>
      <c r="E73" s="9"/>
      <c r="F73" s="9"/>
      <c r="G73" s="9"/>
      <c r="H73" s="9"/>
      <c r="I73" s="34">
        <f>SUM(I69:I72)</f>
        <v>39.391599999999997</v>
      </c>
      <c r="J73" s="9"/>
      <c r="K73" s="9"/>
      <c r="L73" s="9"/>
      <c r="M73" s="33">
        <f>SUM(M69:M72)</f>
        <v>23.571999999999999</v>
      </c>
      <c r="N73" s="182" t="s">
        <v>68</v>
      </c>
    </row>
    <row r="75" spans="1:22" ht="15.75" thickBot="1">
      <c r="A75" s="286" t="s">
        <v>119</v>
      </c>
      <c r="B75" s="287"/>
      <c r="C75" s="287"/>
      <c r="D75" s="287"/>
      <c r="E75" s="287"/>
      <c r="F75" s="288"/>
      <c r="H75" s="286" t="s">
        <v>221</v>
      </c>
      <c r="I75" s="287"/>
      <c r="J75" s="287"/>
      <c r="K75" s="287"/>
      <c r="L75" s="287"/>
      <c r="M75" s="288"/>
      <c r="O75" s="286" t="s">
        <v>119</v>
      </c>
      <c r="P75" s="287"/>
      <c r="Q75" s="287"/>
      <c r="R75" s="287"/>
      <c r="S75" s="287"/>
      <c r="T75" s="288"/>
    </row>
    <row r="76" spans="1:22" ht="18" thickBot="1">
      <c r="A76" s="97" t="s">
        <v>222</v>
      </c>
      <c r="B76" s="156" t="s">
        <v>86</v>
      </c>
      <c r="C76" s="95" t="s">
        <v>11</v>
      </c>
      <c r="D76" s="95" t="s">
        <v>120</v>
      </c>
      <c r="E76" s="112" t="s">
        <v>6</v>
      </c>
      <c r="F76" s="146" t="s">
        <v>32</v>
      </c>
      <c r="H76" s="97" t="s">
        <v>223</v>
      </c>
      <c r="I76" s="156" t="s">
        <v>86</v>
      </c>
      <c r="J76" s="95" t="s">
        <v>11</v>
      </c>
      <c r="K76" s="95" t="s">
        <v>120</v>
      </c>
      <c r="L76" s="112" t="s">
        <v>6</v>
      </c>
      <c r="M76" s="146" t="s">
        <v>32</v>
      </c>
      <c r="O76" s="97" t="s">
        <v>224</v>
      </c>
      <c r="P76" s="156" t="s">
        <v>86</v>
      </c>
      <c r="Q76" s="95" t="s">
        <v>11</v>
      </c>
      <c r="R76" s="95" t="s">
        <v>120</v>
      </c>
      <c r="S76" s="112" t="s">
        <v>6</v>
      </c>
      <c r="T76" s="146" t="s">
        <v>32</v>
      </c>
    </row>
    <row r="77" spans="1:22">
      <c r="A77" s="159"/>
      <c r="B77" s="15">
        <v>0.3</v>
      </c>
      <c r="C77" s="15">
        <v>0.7</v>
      </c>
      <c r="D77" s="15">
        <f>3.7-0.6</f>
        <v>3.1</v>
      </c>
      <c r="E77" s="15">
        <v>25</v>
      </c>
      <c r="F77" s="71">
        <f>B77*C77*D77*E77</f>
        <v>16.275000000000002</v>
      </c>
      <c r="G77" s="50"/>
      <c r="H77" s="159"/>
      <c r="I77" s="15">
        <v>0.3</v>
      </c>
      <c r="J77" s="15">
        <v>0.7</v>
      </c>
      <c r="K77" s="15">
        <f>3.2-0.6</f>
        <v>2.6</v>
      </c>
      <c r="L77" s="15">
        <v>25</v>
      </c>
      <c r="M77" s="71">
        <f>I77*J77*K77*L77</f>
        <v>13.65</v>
      </c>
      <c r="O77" s="159"/>
      <c r="P77" s="15">
        <v>0.3</v>
      </c>
      <c r="Q77" s="15">
        <v>0.7</v>
      </c>
      <c r="R77" s="15">
        <f>3.2-0.5</f>
        <v>2.7</v>
      </c>
      <c r="S77" s="15">
        <v>25</v>
      </c>
      <c r="T77" s="71">
        <f>P77*Q77*R77*S77</f>
        <v>14.175000000000001</v>
      </c>
    </row>
    <row r="78" spans="1:22" ht="15.75" thickBot="1">
      <c r="A78" s="50"/>
      <c r="B78" s="11"/>
      <c r="C78" s="11"/>
      <c r="D78" s="12"/>
      <c r="E78" s="50"/>
      <c r="F78" s="50"/>
      <c r="G78" s="49"/>
    </row>
    <row r="79" spans="1:22" ht="15.75" thickBot="1">
      <c r="A79" s="295" t="s">
        <v>239</v>
      </c>
      <c r="B79" s="296"/>
      <c r="C79" s="12"/>
      <c r="D79" s="12"/>
      <c r="E79" s="12"/>
      <c r="F79" s="12"/>
      <c r="G79" s="12"/>
      <c r="H79" s="12"/>
      <c r="I79" s="12"/>
      <c r="J79" s="12"/>
      <c r="K79" s="12"/>
      <c r="L79" s="12"/>
    </row>
    <row r="80" spans="1:22" ht="19.5" thickBot="1">
      <c r="A80" s="184"/>
      <c r="B80" s="185" t="s">
        <v>18</v>
      </c>
      <c r="C80" s="186" t="s">
        <v>19</v>
      </c>
      <c r="D80" s="187" t="s">
        <v>127</v>
      </c>
      <c r="E80" s="188" t="s">
        <v>128</v>
      </c>
      <c r="F80" s="189" t="s">
        <v>129</v>
      </c>
      <c r="G80" s="188" t="s">
        <v>116</v>
      </c>
      <c r="H80" s="190" t="s">
        <v>130</v>
      </c>
      <c r="I80" s="190" t="s">
        <v>58</v>
      </c>
      <c r="J80" s="190" t="s">
        <v>59</v>
      </c>
      <c r="K80" s="190" t="s">
        <v>57</v>
      </c>
      <c r="L80" s="190" t="s">
        <v>55</v>
      </c>
      <c r="O80" s="286" t="s">
        <v>238</v>
      </c>
      <c r="P80" s="287"/>
      <c r="Q80" s="287"/>
      <c r="R80" s="287"/>
      <c r="S80" s="287"/>
      <c r="T80" s="288"/>
    </row>
    <row r="81" spans="1:20" ht="18" thickBot="1">
      <c r="A81" s="191" t="s">
        <v>17</v>
      </c>
      <c r="B81" s="5"/>
      <c r="C81" s="59"/>
      <c r="D81" s="5"/>
      <c r="E81" s="5"/>
      <c r="F81" s="5"/>
      <c r="G81" s="69"/>
      <c r="H81" s="5"/>
      <c r="I81" s="215"/>
      <c r="J81" s="5"/>
      <c r="K81" s="5"/>
      <c r="L81" s="215"/>
      <c r="O81" s="97" t="s">
        <v>222</v>
      </c>
      <c r="P81" s="156" t="s">
        <v>86</v>
      </c>
      <c r="Q81" s="95" t="s">
        <v>11</v>
      </c>
      <c r="R81" s="95" t="s">
        <v>120</v>
      </c>
      <c r="S81" s="112" t="s">
        <v>6</v>
      </c>
      <c r="T81" s="146" t="s">
        <v>32</v>
      </c>
    </row>
    <row r="82" spans="1:20">
      <c r="A82" s="192" t="s">
        <v>121</v>
      </c>
      <c r="B82" s="1">
        <v>1</v>
      </c>
      <c r="C82" s="3">
        <v>1</v>
      </c>
      <c r="D82" s="1">
        <v>4.3</v>
      </c>
      <c r="E82" s="1" t="s">
        <v>27</v>
      </c>
      <c r="F82" s="1">
        <v>4.5999999999999996</v>
      </c>
      <c r="G82" s="20">
        <f>B82*(D82/2)+C82*(F82/2)</f>
        <v>4.4499999999999993</v>
      </c>
      <c r="H82" s="56"/>
      <c r="I82" s="1"/>
      <c r="J82" s="66"/>
      <c r="K82" s="66"/>
      <c r="L82" s="1"/>
      <c r="O82" s="159"/>
      <c r="P82" s="15">
        <v>0.3</v>
      </c>
      <c r="Q82" s="15">
        <v>0.3</v>
      </c>
      <c r="R82" s="15">
        <f>3.7-0.6</f>
        <v>3.1</v>
      </c>
      <c r="S82" s="15">
        <v>25</v>
      </c>
      <c r="T82" s="71">
        <f>P82*Q82*R82*S82</f>
        <v>6.9749999999999996</v>
      </c>
    </row>
    <row r="83" spans="1:20">
      <c r="A83" s="192" t="s">
        <v>122</v>
      </c>
      <c r="B83" s="1">
        <v>1</v>
      </c>
      <c r="C83" s="3">
        <v>1</v>
      </c>
      <c r="D83" s="1">
        <v>4.3</v>
      </c>
      <c r="E83" s="1" t="s">
        <v>27</v>
      </c>
      <c r="F83" s="1">
        <v>3.6</v>
      </c>
      <c r="G83" s="1">
        <f>B83*(D83/2)+C83*F83/2</f>
        <v>3.95</v>
      </c>
      <c r="H83" s="56"/>
      <c r="I83" s="1"/>
      <c r="J83" s="66"/>
      <c r="K83" s="66"/>
      <c r="L83" s="1"/>
    </row>
    <row r="84" spans="1:20" ht="15.75" thickBot="1">
      <c r="A84" s="73" t="s">
        <v>125</v>
      </c>
      <c r="B84" s="74"/>
      <c r="C84" s="76"/>
      <c r="D84" s="74"/>
      <c r="E84" s="74"/>
      <c r="F84" s="74"/>
      <c r="G84" s="75">
        <f>SUM(G82:G83)</f>
        <v>8.3999999999999986</v>
      </c>
      <c r="H84" s="54">
        <f>G84*H49</f>
        <v>84.982799999999997</v>
      </c>
      <c r="I84" s="75">
        <f>B49*G84</f>
        <v>34.355999999999995</v>
      </c>
      <c r="J84" s="75">
        <f>D49*G84</f>
        <v>16.799999999999997</v>
      </c>
      <c r="K84" s="75">
        <v>0.3</v>
      </c>
      <c r="L84" s="54">
        <f>I84+K84*J84</f>
        <v>39.395999999999994</v>
      </c>
      <c r="O84" s="286" t="s">
        <v>237</v>
      </c>
      <c r="P84" s="287"/>
      <c r="Q84" s="287"/>
      <c r="R84" s="287"/>
      <c r="S84" s="287"/>
      <c r="T84" s="288"/>
    </row>
    <row r="85" spans="1:20" ht="18" thickBot="1">
      <c r="A85" s="193" t="s">
        <v>22</v>
      </c>
      <c r="B85" s="66"/>
      <c r="C85" s="62"/>
      <c r="D85" s="66"/>
      <c r="E85" s="66"/>
      <c r="F85" s="66"/>
      <c r="G85" s="66"/>
      <c r="H85" s="66"/>
      <c r="I85" s="1"/>
      <c r="J85" s="1"/>
      <c r="K85" s="66"/>
      <c r="L85" s="1"/>
      <c r="O85" s="97" t="s">
        <v>223</v>
      </c>
      <c r="P85" s="156" t="s">
        <v>86</v>
      </c>
      <c r="Q85" s="95" t="s">
        <v>11</v>
      </c>
      <c r="R85" s="95" t="s">
        <v>120</v>
      </c>
      <c r="S85" s="112" t="s">
        <v>6</v>
      </c>
      <c r="T85" s="146" t="s">
        <v>32</v>
      </c>
    </row>
    <row r="86" spans="1:20">
      <c r="A86" s="192" t="s">
        <v>123</v>
      </c>
      <c r="B86" s="1">
        <v>1</v>
      </c>
      <c r="C86" s="3">
        <v>1</v>
      </c>
      <c r="D86" s="1" t="s">
        <v>27</v>
      </c>
      <c r="E86" s="1">
        <v>1.5</v>
      </c>
      <c r="F86" s="1">
        <v>3.6</v>
      </c>
      <c r="G86" s="1">
        <f>B86*E86+C86*(F86/2)</f>
        <v>3.3</v>
      </c>
      <c r="H86" s="66"/>
      <c r="I86" s="1"/>
      <c r="J86" s="1"/>
      <c r="K86" s="66"/>
      <c r="L86" s="1"/>
      <c r="O86" s="159"/>
      <c r="P86" s="15">
        <v>0.3</v>
      </c>
      <c r="Q86" s="15">
        <v>0.3</v>
      </c>
      <c r="R86" s="15">
        <f>3.2-0.6</f>
        <v>2.6</v>
      </c>
      <c r="S86" s="15">
        <v>25</v>
      </c>
      <c r="T86" s="71">
        <f>P86*Q86*R86*S86</f>
        <v>5.85</v>
      </c>
    </row>
    <row r="87" spans="1:20">
      <c r="A87" s="192" t="s">
        <v>124</v>
      </c>
      <c r="B87" s="1">
        <v>1</v>
      </c>
      <c r="C87" s="3">
        <v>1</v>
      </c>
      <c r="D87" s="1" t="s">
        <v>27</v>
      </c>
      <c r="E87" s="1">
        <v>1.5</v>
      </c>
      <c r="F87" s="1">
        <v>4.5999999999999996</v>
      </c>
      <c r="G87" s="1">
        <f>B87*E87+C87*(F87/2)</f>
        <v>3.8</v>
      </c>
      <c r="H87" s="66"/>
      <c r="I87" s="1"/>
      <c r="J87" s="1"/>
      <c r="K87" s="66"/>
      <c r="L87" s="1"/>
    </row>
    <row r="88" spans="1:20" ht="15.75" thickBot="1">
      <c r="A88" s="73" t="s">
        <v>125</v>
      </c>
      <c r="B88" s="75"/>
      <c r="C88" s="77"/>
      <c r="D88" s="75"/>
      <c r="E88" s="75"/>
      <c r="F88" s="75"/>
      <c r="G88" s="75">
        <f>SUM(G86:G87)</f>
        <v>7.1</v>
      </c>
      <c r="H88" s="54">
        <f>G88*H50</f>
        <v>81.458299999999994</v>
      </c>
      <c r="I88" s="75">
        <f>B50*G88</f>
        <v>29.890999999999998</v>
      </c>
      <c r="J88" s="75">
        <f>D50*G88</f>
        <v>28.4</v>
      </c>
      <c r="K88" s="75">
        <v>0.6</v>
      </c>
      <c r="L88" s="54">
        <f>I88+K88*J88</f>
        <v>46.930999999999997</v>
      </c>
      <c r="O88" s="286" t="s">
        <v>237</v>
      </c>
      <c r="P88" s="287"/>
      <c r="Q88" s="287"/>
      <c r="R88" s="287"/>
      <c r="S88" s="287"/>
      <c r="T88" s="288"/>
    </row>
    <row r="89" spans="1:20" ht="18" thickBot="1">
      <c r="A89" s="194" t="s">
        <v>45</v>
      </c>
      <c r="B89" s="1" t="s">
        <v>27</v>
      </c>
      <c r="C89" s="3" t="s">
        <v>27</v>
      </c>
      <c r="D89" s="1" t="s">
        <v>27</v>
      </c>
      <c r="E89" s="1" t="s">
        <v>27</v>
      </c>
      <c r="F89" s="1" t="s">
        <v>27</v>
      </c>
      <c r="G89" s="1" t="s">
        <v>27</v>
      </c>
      <c r="H89" s="1" t="s">
        <v>27</v>
      </c>
      <c r="I89" s="20" t="s">
        <v>27</v>
      </c>
      <c r="J89" s="1" t="s">
        <v>27</v>
      </c>
      <c r="K89" s="20" t="s">
        <v>27</v>
      </c>
      <c r="L89" s="1" t="s">
        <v>27</v>
      </c>
      <c r="O89" s="97" t="s">
        <v>224</v>
      </c>
      <c r="P89" s="156" t="s">
        <v>86</v>
      </c>
      <c r="Q89" s="95" t="s">
        <v>11</v>
      </c>
      <c r="R89" s="95" t="s">
        <v>120</v>
      </c>
      <c r="S89" s="112" t="s">
        <v>6</v>
      </c>
      <c r="T89" s="146" t="s">
        <v>32</v>
      </c>
    </row>
    <row r="90" spans="1:20">
      <c r="A90" s="194" t="s">
        <v>126</v>
      </c>
      <c r="B90" s="1" t="s">
        <v>27</v>
      </c>
      <c r="C90" s="3" t="s">
        <v>27</v>
      </c>
      <c r="D90" s="1" t="s">
        <v>27</v>
      </c>
      <c r="E90" s="1" t="s">
        <v>27</v>
      </c>
      <c r="F90" s="1">
        <v>4.5999999999999996</v>
      </c>
      <c r="G90" s="1" t="s">
        <v>27</v>
      </c>
      <c r="H90" s="30">
        <f>(F90/2)*H54</f>
        <v>11.07795</v>
      </c>
      <c r="I90" s="1">
        <f>(F90/2)*B54</f>
        <v>8.5214999999999996</v>
      </c>
      <c r="J90" s="1" t="s">
        <v>27</v>
      </c>
      <c r="K90" s="20" t="s">
        <v>27</v>
      </c>
      <c r="L90" s="1">
        <f>I90</f>
        <v>8.5214999999999996</v>
      </c>
      <c r="O90" s="159"/>
      <c r="P90" s="15">
        <v>0.3</v>
      </c>
      <c r="Q90" s="15">
        <v>0.3</v>
      </c>
      <c r="R90" s="15">
        <f>3.2-0.5</f>
        <v>2.7</v>
      </c>
      <c r="S90" s="15">
        <v>25</v>
      </c>
      <c r="T90" s="71">
        <f>P90*Q90*R90*S90</f>
        <v>6.0750000000000002</v>
      </c>
    </row>
    <row r="91" spans="1:20">
      <c r="A91" s="194" t="s">
        <v>132</v>
      </c>
      <c r="B91" s="1" t="s">
        <v>27</v>
      </c>
      <c r="C91" s="3" t="s">
        <v>27</v>
      </c>
      <c r="D91" s="20" t="s">
        <v>27</v>
      </c>
      <c r="E91" s="1" t="s">
        <v>27</v>
      </c>
      <c r="F91" s="20">
        <v>4.3</v>
      </c>
      <c r="G91" s="1" t="s">
        <v>27</v>
      </c>
      <c r="H91" s="30">
        <f>(F91/2)*H54</f>
        <v>10.355475</v>
      </c>
      <c r="I91" s="1">
        <f>(F91/2)*B54</f>
        <v>7.9657499999999999</v>
      </c>
      <c r="J91" s="1" t="s">
        <v>27</v>
      </c>
      <c r="K91" s="20" t="s">
        <v>27</v>
      </c>
      <c r="L91" s="1">
        <f>I91</f>
        <v>7.9657499999999999</v>
      </c>
    </row>
    <row r="92" spans="1:20">
      <c r="A92" s="191" t="s">
        <v>133</v>
      </c>
      <c r="B92" s="1" t="s">
        <v>27</v>
      </c>
      <c r="C92" s="3" t="s">
        <v>27</v>
      </c>
      <c r="D92" s="20" t="s">
        <v>27</v>
      </c>
      <c r="E92" s="1" t="s">
        <v>27</v>
      </c>
      <c r="F92" s="1">
        <v>3.6</v>
      </c>
      <c r="G92" s="1" t="s">
        <v>27</v>
      </c>
      <c r="H92" s="30">
        <f>(F92/2)*H52</f>
        <v>7.1487000000000007</v>
      </c>
      <c r="I92" s="1">
        <f>(F92/2)*B52</f>
        <v>5.4990000000000006</v>
      </c>
      <c r="J92" s="1" t="s">
        <v>27</v>
      </c>
      <c r="K92" s="20" t="s">
        <v>27</v>
      </c>
      <c r="L92" s="1">
        <f>I92</f>
        <v>5.4990000000000006</v>
      </c>
    </row>
    <row r="93" spans="1:20">
      <c r="A93" s="18" t="s">
        <v>131</v>
      </c>
      <c r="B93" s="64"/>
      <c r="C93" s="68"/>
      <c r="D93" s="64"/>
      <c r="E93" s="64"/>
      <c r="F93" s="64"/>
      <c r="G93" s="64"/>
      <c r="H93" s="71">
        <f>H84+H88+H90+H91+H92</f>
        <v>195.023225</v>
      </c>
      <c r="I93" s="71"/>
      <c r="J93" s="67"/>
      <c r="K93" s="64"/>
      <c r="L93" s="71">
        <f>L84+L88+L90+L91+L92</f>
        <v>108.31325</v>
      </c>
    </row>
    <row r="94" spans="1:20" ht="15.75" thickBot="1">
      <c r="A94" s="195" t="s">
        <v>117</v>
      </c>
      <c r="B94" s="44"/>
      <c r="C94" s="61"/>
      <c r="D94" s="63"/>
      <c r="E94" s="63"/>
      <c r="F94" s="63"/>
      <c r="G94" s="63"/>
      <c r="H94" s="1">
        <f>1.5*M77</f>
        <v>20.475000000000001</v>
      </c>
      <c r="I94" s="55">
        <f>M77</f>
        <v>13.65</v>
      </c>
      <c r="J94" s="2" t="s">
        <v>27</v>
      </c>
      <c r="K94" s="21" t="s">
        <v>27</v>
      </c>
      <c r="L94" s="30">
        <f>I94</f>
        <v>13.65</v>
      </c>
    </row>
    <row r="95" spans="1:20" ht="15.75" thickBot="1">
      <c r="H95" s="72">
        <f>H93+H94</f>
        <v>215.49822499999999</v>
      </c>
      <c r="L95" s="72">
        <f>L93+L94</f>
        <v>121.96325</v>
      </c>
    </row>
    <row r="97" spans="1:12" ht="15.75" thickBot="1"/>
    <row r="98" spans="1:12" ht="15.75" thickBot="1">
      <c r="A98" s="295" t="s">
        <v>240</v>
      </c>
      <c r="B98" s="296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ht="18.75">
      <c r="A99" s="193"/>
      <c r="B99" s="196" t="s">
        <v>18</v>
      </c>
      <c r="C99" s="186" t="s">
        <v>19</v>
      </c>
      <c r="D99" s="188" t="s">
        <v>127</v>
      </c>
      <c r="E99" s="188" t="s">
        <v>128</v>
      </c>
      <c r="F99" s="188" t="s">
        <v>129</v>
      </c>
      <c r="G99" s="188" t="s">
        <v>116</v>
      </c>
      <c r="H99" s="190" t="s">
        <v>130</v>
      </c>
      <c r="I99" s="190" t="s">
        <v>58</v>
      </c>
      <c r="J99" s="190" t="s">
        <v>59</v>
      </c>
      <c r="K99" s="190" t="s">
        <v>57</v>
      </c>
      <c r="L99" s="190" t="s">
        <v>55</v>
      </c>
    </row>
    <row r="100" spans="1:12">
      <c r="A100" s="194" t="s">
        <v>17</v>
      </c>
      <c r="B100" s="215">
        <v>1</v>
      </c>
      <c r="C100" s="215">
        <v>1</v>
      </c>
      <c r="D100" s="215">
        <v>4.3</v>
      </c>
      <c r="E100" s="215" t="s">
        <v>27</v>
      </c>
      <c r="F100" s="215">
        <v>4.5999999999999996</v>
      </c>
      <c r="G100" s="215">
        <f>B100*D100/2+C100*F100/2</f>
        <v>4.4499999999999993</v>
      </c>
      <c r="H100" s="7">
        <f>H49*G100</f>
        <v>45.020649999999996</v>
      </c>
      <c r="I100" s="7">
        <f>G100*B49</f>
        <v>18.200499999999998</v>
      </c>
      <c r="J100" s="215">
        <f>D49*G100</f>
        <v>8.8999999999999986</v>
      </c>
      <c r="K100" s="215">
        <v>0.3</v>
      </c>
      <c r="L100" s="7">
        <f>I100+K100*J100</f>
        <v>20.870499999999996</v>
      </c>
    </row>
    <row r="101" spans="1:12">
      <c r="A101" s="194" t="s">
        <v>22</v>
      </c>
      <c r="B101" s="1">
        <v>1</v>
      </c>
      <c r="C101" s="1">
        <v>1</v>
      </c>
      <c r="D101" s="1" t="s">
        <v>27</v>
      </c>
      <c r="E101" s="1">
        <v>1.5</v>
      </c>
      <c r="F101" s="1">
        <v>4.5999999999999996</v>
      </c>
      <c r="G101" s="1">
        <f>B101*E101+C101*F101</f>
        <v>6.1</v>
      </c>
      <c r="H101" s="1">
        <f>G101*H50</f>
        <v>69.985299999999995</v>
      </c>
      <c r="I101" s="1">
        <f>G101*B50</f>
        <v>25.680999999999997</v>
      </c>
      <c r="J101" s="1">
        <f>G101*D50</f>
        <v>24.4</v>
      </c>
      <c r="K101" s="1">
        <v>0.6</v>
      </c>
      <c r="L101" s="1">
        <f>I101+K101*J101</f>
        <v>40.320999999999998</v>
      </c>
    </row>
    <row r="102" spans="1:12">
      <c r="A102" s="194" t="s">
        <v>45</v>
      </c>
      <c r="B102" s="1" t="s">
        <v>27</v>
      </c>
      <c r="C102" s="1" t="s">
        <v>27</v>
      </c>
      <c r="D102" s="1" t="s">
        <v>27</v>
      </c>
      <c r="E102" s="1" t="s">
        <v>27</v>
      </c>
      <c r="F102" s="1" t="s">
        <v>27</v>
      </c>
      <c r="G102" s="1" t="s">
        <v>27</v>
      </c>
      <c r="H102" s="1" t="s">
        <v>27</v>
      </c>
      <c r="I102" s="20" t="s">
        <v>27</v>
      </c>
      <c r="J102" s="1" t="s">
        <v>27</v>
      </c>
      <c r="K102" s="20" t="s">
        <v>27</v>
      </c>
      <c r="L102" s="1" t="s">
        <v>27</v>
      </c>
    </row>
    <row r="103" spans="1:12">
      <c r="A103" s="194" t="s">
        <v>134</v>
      </c>
      <c r="B103" s="1" t="s">
        <v>27</v>
      </c>
      <c r="C103" s="1" t="s">
        <v>27</v>
      </c>
      <c r="D103" s="1" t="s">
        <v>27</v>
      </c>
      <c r="E103" s="1" t="s">
        <v>27</v>
      </c>
      <c r="F103" s="1">
        <v>4.3</v>
      </c>
      <c r="G103" s="20" t="s">
        <v>27</v>
      </c>
      <c r="H103" s="30">
        <f>(F103/2)*H54</f>
        <v>10.355475</v>
      </c>
      <c r="I103" s="30">
        <f>F103/2*B54</f>
        <v>7.9657499999999999</v>
      </c>
      <c r="J103" s="1" t="s">
        <v>27</v>
      </c>
      <c r="K103" s="20" t="s">
        <v>27</v>
      </c>
      <c r="L103" s="30">
        <f>I103</f>
        <v>7.9657499999999999</v>
      </c>
    </row>
    <row r="104" spans="1:12">
      <c r="A104" s="191" t="s">
        <v>133</v>
      </c>
      <c r="B104" s="1" t="s">
        <v>27</v>
      </c>
      <c r="C104" s="1" t="s">
        <v>27</v>
      </c>
      <c r="D104" s="1" t="s">
        <v>27</v>
      </c>
      <c r="E104" s="1" t="s">
        <v>27</v>
      </c>
      <c r="F104" s="20">
        <v>3.6</v>
      </c>
      <c r="G104" s="20" t="s">
        <v>27</v>
      </c>
      <c r="H104" s="30">
        <f>(F104/2)*H52</f>
        <v>7.1487000000000007</v>
      </c>
      <c r="I104" s="1">
        <f>B52*(F104/2)</f>
        <v>5.4990000000000006</v>
      </c>
      <c r="J104" s="1" t="s">
        <v>27</v>
      </c>
      <c r="K104" s="20" t="s">
        <v>27</v>
      </c>
      <c r="L104" s="1">
        <f>I104</f>
        <v>5.4990000000000006</v>
      </c>
    </row>
    <row r="105" spans="1:12">
      <c r="A105" s="14" t="s">
        <v>131</v>
      </c>
      <c r="B105" s="65"/>
      <c r="C105" s="64"/>
      <c r="D105" s="64"/>
      <c r="E105" s="64"/>
      <c r="F105" s="64"/>
      <c r="G105" s="64"/>
      <c r="H105" s="71">
        <f>H100+H101+H103+H104</f>
        <v>132.51012499999999</v>
      </c>
      <c r="I105" s="64"/>
      <c r="J105" s="64"/>
      <c r="K105" s="64"/>
      <c r="L105" s="71">
        <f>L100+L101+L103+L104</f>
        <v>74.656249999999986</v>
      </c>
    </row>
    <row r="106" spans="1:12" ht="15.75" thickBot="1">
      <c r="A106" s="195" t="s">
        <v>117</v>
      </c>
      <c r="B106" s="44"/>
      <c r="C106" s="63"/>
      <c r="D106" s="63"/>
      <c r="E106" s="63"/>
      <c r="F106" s="63"/>
      <c r="G106" s="63"/>
      <c r="H106" s="1">
        <f>1.5*M77</f>
        <v>20.475000000000001</v>
      </c>
      <c r="I106" s="78">
        <f>M77</f>
        <v>13.65</v>
      </c>
      <c r="J106" s="60" t="s">
        <v>27</v>
      </c>
      <c r="K106" s="60" t="s">
        <v>27</v>
      </c>
      <c r="L106" s="86">
        <f>I106</f>
        <v>13.65</v>
      </c>
    </row>
    <row r="107" spans="1:12" ht="15.75" thickBot="1">
      <c r="H107" s="72">
        <f>H105+H106</f>
        <v>152.98512499999998</v>
      </c>
      <c r="L107" s="143">
        <f>L105+L106</f>
        <v>88.306249999999991</v>
      </c>
    </row>
    <row r="110" spans="1:12" ht="15.75" thickBot="1">
      <c r="A110" s="299" t="s">
        <v>139</v>
      </c>
      <c r="B110" s="300"/>
      <c r="C110" s="300"/>
      <c r="D110" s="300"/>
      <c r="E110" s="300"/>
      <c r="F110" s="300"/>
      <c r="G110" s="301"/>
    </row>
    <row r="111" spans="1:12" ht="18" thickBot="1">
      <c r="A111" s="197"/>
      <c r="B111" s="188" t="s">
        <v>11</v>
      </c>
      <c r="C111" s="188" t="s">
        <v>12</v>
      </c>
      <c r="D111" s="188" t="s">
        <v>13</v>
      </c>
      <c r="E111" s="188" t="s">
        <v>5</v>
      </c>
      <c r="F111" s="189" t="s">
        <v>6</v>
      </c>
      <c r="G111" s="198" t="s">
        <v>30</v>
      </c>
    </row>
    <row r="112" spans="1:12">
      <c r="A112" s="188" t="s">
        <v>2</v>
      </c>
      <c r="B112" s="1">
        <v>0.04</v>
      </c>
      <c r="C112" s="1">
        <v>1</v>
      </c>
      <c r="D112" s="1">
        <v>1</v>
      </c>
      <c r="E112" s="84" t="s">
        <v>27</v>
      </c>
      <c r="F112" s="3">
        <v>25</v>
      </c>
      <c r="G112" s="1">
        <f>B112*C112*D112*F112</f>
        <v>1</v>
      </c>
    </row>
    <row r="113" spans="1:11">
      <c r="A113" s="188" t="s">
        <v>3</v>
      </c>
      <c r="B113" s="1">
        <v>0.18</v>
      </c>
      <c r="C113" s="1">
        <v>0.08</v>
      </c>
      <c r="D113" s="1">
        <v>1</v>
      </c>
      <c r="E113" s="84" t="s">
        <v>27</v>
      </c>
      <c r="F113" s="3">
        <v>25</v>
      </c>
      <c r="G113" s="1">
        <f>3*B113*C113*D113*F113</f>
        <v>1.08</v>
      </c>
    </row>
    <row r="114" spans="1:11">
      <c r="A114" s="188" t="s">
        <v>4</v>
      </c>
      <c r="B114" s="1">
        <v>0.18</v>
      </c>
      <c r="C114" s="1">
        <v>0.33</v>
      </c>
      <c r="D114" s="1">
        <v>0.4</v>
      </c>
      <c r="E114" s="1">
        <v>7.5999999999999998E-2</v>
      </c>
      <c r="F114" s="3" t="s">
        <v>27</v>
      </c>
      <c r="G114" s="1">
        <f>J5*E114</f>
        <v>0.56999999999999995</v>
      </c>
    </row>
    <row r="115" spans="1:11" ht="15.75" thickBot="1">
      <c r="A115" s="8" t="s">
        <v>7</v>
      </c>
      <c r="B115" s="9"/>
      <c r="C115" s="9"/>
      <c r="D115" s="9"/>
      <c r="E115" s="9"/>
      <c r="F115" s="9"/>
      <c r="G115" s="149">
        <f>SUM(G112:G114)</f>
        <v>2.65</v>
      </c>
    </row>
    <row r="116" spans="1:11" ht="18" thickBot="1">
      <c r="A116" s="190"/>
      <c r="B116" s="188" t="s">
        <v>11</v>
      </c>
      <c r="C116" s="188" t="s">
        <v>12</v>
      </c>
      <c r="D116" s="199" t="s">
        <v>13</v>
      </c>
      <c r="E116" s="195"/>
      <c r="F116" s="189" t="s">
        <v>6</v>
      </c>
      <c r="G116" s="198" t="s">
        <v>31</v>
      </c>
    </row>
    <row r="117" spans="1:11">
      <c r="A117" s="188" t="s">
        <v>29</v>
      </c>
      <c r="B117" s="1">
        <f>B21</f>
        <v>1</v>
      </c>
      <c r="C117" s="1">
        <f>C21</f>
        <v>1</v>
      </c>
      <c r="D117" s="215">
        <f>D21</f>
        <v>0.04</v>
      </c>
      <c r="E117" s="84"/>
      <c r="F117" s="219">
        <f>F21</f>
        <v>18</v>
      </c>
      <c r="G117" s="20">
        <f>B117*C117*D117*F117</f>
        <v>0.72</v>
      </c>
    </row>
    <row r="118" spans="1:11">
      <c r="A118" s="188" t="s">
        <v>14</v>
      </c>
      <c r="B118" s="1">
        <v>0</v>
      </c>
      <c r="C118" s="1">
        <v>0</v>
      </c>
      <c r="D118" s="1">
        <v>0</v>
      </c>
      <c r="E118" s="84" t="s">
        <v>27</v>
      </c>
      <c r="F118" s="3">
        <v>0</v>
      </c>
      <c r="G118" s="1">
        <f>B118*C118*D118*F118</f>
        <v>0</v>
      </c>
    </row>
    <row r="119" spans="1:11">
      <c r="A119" s="200" t="s">
        <v>8</v>
      </c>
      <c r="B119" s="1">
        <v>1</v>
      </c>
      <c r="C119" s="1">
        <v>1</v>
      </c>
      <c r="D119" s="1">
        <v>0.02</v>
      </c>
      <c r="E119" s="84" t="s">
        <v>27</v>
      </c>
      <c r="F119" s="3">
        <v>20</v>
      </c>
      <c r="G119" s="1">
        <f>B119*C119*D119*F119</f>
        <v>0.4</v>
      </c>
    </row>
    <row r="120" spans="1:11">
      <c r="A120" s="8" t="s">
        <v>7</v>
      </c>
      <c r="B120" s="9"/>
      <c r="C120" s="9"/>
      <c r="D120" s="9"/>
      <c r="E120" s="9"/>
      <c r="F120" s="9"/>
      <c r="G120" s="217">
        <f>SUM(G117:G119,)</f>
        <v>1.1200000000000001</v>
      </c>
    </row>
    <row r="124" spans="1:11" ht="21">
      <c r="A124" s="277" t="s">
        <v>139</v>
      </c>
      <c r="B124" s="302"/>
      <c r="C124" s="302"/>
      <c r="D124" s="302"/>
      <c r="E124" s="302"/>
      <c r="F124" s="302"/>
      <c r="G124" s="302"/>
      <c r="H124" s="302"/>
      <c r="I124" s="302"/>
      <c r="J124" s="302"/>
      <c r="K124" s="303"/>
    </row>
    <row r="125" spans="1:11" ht="18">
      <c r="A125" s="108"/>
      <c r="B125" s="214" t="s">
        <v>37</v>
      </c>
      <c r="C125" s="94" t="s">
        <v>38</v>
      </c>
      <c r="D125" s="94" t="s">
        <v>39</v>
      </c>
      <c r="E125" s="94" t="s">
        <v>40</v>
      </c>
      <c r="F125" s="94" t="s">
        <v>41</v>
      </c>
      <c r="G125" s="94" t="s">
        <v>42</v>
      </c>
      <c r="H125" s="94" t="s">
        <v>43</v>
      </c>
      <c r="I125" s="96" t="s">
        <v>57</v>
      </c>
      <c r="J125" s="96" t="s">
        <v>56</v>
      </c>
      <c r="K125" s="94" t="s">
        <v>55</v>
      </c>
    </row>
    <row r="126" spans="1:11" ht="17.25">
      <c r="A126" s="188" t="s">
        <v>202</v>
      </c>
      <c r="B126" s="7">
        <f>G115+G120</f>
        <v>3.77</v>
      </c>
      <c r="C126" s="215" t="s">
        <v>27</v>
      </c>
      <c r="D126" s="215">
        <v>0.5</v>
      </c>
      <c r="E126" s="7">
        <f>1.3*B126</f>
        <v>4.9009999999999998</v>
      </c>
      <c r="F126" s="215" t="s">
        <v>27</v>
      </c>
      <c r="G126" s="215">
        <f>D126*1.5</f>
        <v>0.75</v>
      </c>
      <c r="H126" s="23">
        <f>E126+G126</f>
        <v>5.6509999999999998</v>
      </c>
      <c r="I126" s="215">
        <v>0</v>
      </c>
      <c r="J126" s="215">
        <f>I126*D126</f>
        <v>0</v>
      </c>
      <c r="K126" s="27">
        <f>B126+D126*I126</f>
        <v>3.77</v>
      </c>
    </row>
    <row r="127" spans="1:11" ht="17.25">
      <c r="A127" s="188" t="s">
        <v>203</v>
      </c>
      <c r="B127" s="1" t="s">
        <v>27</v>
      </c>
      <c r="C127" s="1" t="s">
        <v>27</v>
      </c>
      <c r="D127" s="1" t="s">
        <v>27</v>
      </c>
      <c r="E127" s="30" t="s">
        <v>27</v>
      </c>
      <c r="F127" s="1" t="s">
        <v>27</v>
      </c>
      <c r="G127" s="1" t="s">
        <v>27</v>
      </c>
      <c r="H127" s="24" t="s">
        <v>27</v>
      </c>
      <c r="I127" s="1" t="s">
        <v>27</v>
      </c>
      <c r="J127" s="1" t="s">
        <v>27</v>
      </c>
      <c r="K127" s="4" t="s">
        <v>27</v>
      </c>
    </row>
    <row r="128" spans="1:11">
      <c r="A128" s="188" t="s">
        <v>198</v>
      </c>
      <c r="B128" s="1" t="s">
        <v>27</v>
      </c>
      <c r="C128" s="1" t="s">
        <v>27</v>
      </c>
      <c r="D128" s="1" t="s">
        <v>27</v>
      </c>
      <c r="E128" s="30" t="s">
        <v>27</v>
      </c>
      <c r="F128" s="1" t="s">
        <v>27</v>
      </c>
      <c r="G128" s="1" t="s">
        <v>27</v>
      </c>
      <c r="H128" s="24" t="s">
        <v>27</v>
      </c>
      <c r="I128" s="1" t="s">
        <v>27</v>
      </c>
      <c r="J128" s="1" t="s">
        <v>27</v>
      </c>
      <c r="K128" s="28" t="str">
        <f>B128</f>
        <v>-</v>
      </c>
    </row>
    <row r="129" spans="1:11">
      <c r="A129" s="188" t="s">
        <v>199</v>
      </c>
      <c r="B129" s="1">
        <f>G42</f>
        <v>3.85</v>
      </c>
      <c r="C129" s="1" t="s">
        <v>27</v>
      </c>
      <c r="D129" s="1" t="s">
        <v>27</v>
      </c>
      <c r="E129" s="1">
        <f>1.3*B129</f>
        <v>5.0049999999999999</v>
      </c>
      <c r="F129" s="20" t="s">
        <v>27</v>
      </c>
      <c r="G129" s="20" t="s">
        <v>27</v>
      </c>
      <c r="H129" s="25">
        <f>E129</f>
        <v>5.0049999999999999</v>
      </c>
      <c r="I129" s="20" t="s">
        <v>27</v>
      </c>
      <c r="J129" s="1" t="s">
        <v>27</v>
      </c>
      <c r="K129" s="28">
        <f>B129</f>
        <v>3.85</v>
      </c>
    </row>
    <row r="130" spans="1:11">
      <c r="A130" s="188" t="s">
        <v>200</v>
      </c>
      <c r="B130" s="58" t="s">
        <v>27</v>
      </c>
      <c r="C130" s="58" t="s">
        <v>27</v>
      </c>
      <c r="D130" s="58" t="s">
        <v>27</v>
      </c>
      <c r="E130" s="58" t="s">
        <v>27</v>
      </c>
      <c r="F130" s="58" t="s">
        <v>27</v>
      </c>
      <c r="G130" s="58" t="s">
        <v>27</v>
      </c>
      <c r="H130" s="139" t="s">
        <v>27</v>
      </c>
      <c r="I130" s="58" t="s">
        <v>27</v>
      </c>
      <c r="J130" s="58" t="s">
        <v>27</v>
      </c>
      <c r="K130" s="140" t="str">
        <f>B130</f>
        <v>-</v>
      </c>
    </row>
    <row r="131" spans="1:11" ht="17.25">
      <c r="A131" s="188" t="s">
        <v>201</v>
      </c>
      <c r="B131" s="2" t="s">
        <v>27</v>
      </c>
      <c r="C131" s="2" t="s">
        <v>27</v>
      </c>
      <c r="D131" s="2" t="s">
        <v>27</v>
      </c>
      <c r="E131" s="2" t="s">
        <v>27</v>
      </c>
      <c r="F131" s="21" t="s">
        <v>27</v>
      </c>
      <c r="G131" s="21" t="s">
        <v>27</v>
      </c>
      <c r="H131" s="26" t="s">
        <v>27</v>
      </c>
      <c r="I131" s="21" t="s">
        <v>27</v>
      </c>
      <c r="J131" s="2" t="s">
        <v>27</v>
      </c>
      <c r="K131" s="29" t="str">
        <f>B131</f>
        <v>-</v>
      </c>
    </row>
    <row r="134" spans="1:11" ht="15.75" thickBot="1">
      <c r="A134" s="286" t="s">
        <v>204</v>
      </c>
      <c r="B134" s="287"/>
      <c r="C134" s="287"/>
      <c r="D134" s="287"/>
      <c r="E134" s="287"/>
      <c r="F134" s="287"/>
      <c r="G134" s="288"/>
    </row>
    <row r="135" spans="1:11" ht="18" thickBot="1">
      <c r="A135" s="197"/>
      <c r="B135" s="188" t="s">
        <v>11</v>
      </c>
      <c r="C135" s="188" t="s">
        <v>12</v>
      </c>
      <c r="D135" s="188" t="s">
        <v>13</v>
      </c>
      <c r="E135" s="188" t="s">
        <v>5</v>
      </c>
      <c r="F135" s="189" t="s">
        <v>6</v>
      </c>
      <c r="G135" s="198" t="s">
        <v>30</v>
      </c>
    </row>
    <row r="136" spans="1:11">
      <c r="A136" s="188" t="s">
        <v>2</v>
      </c>
      <c r="B136" s="1">
        <v>0.04</v>
      </c>
      <c r="C136" s="1">
        <v>1</v>
      </c>
      <c r="D136" s="1">
        <v>1</v>
      </c>
      <c r="E136" s="84" t="s">
        <v>27</v>
      </c>
      <c r="F136" s="3">
        <v>25</v>
      </c>
      <c r="G136" s="1">
        <f>B136*C136*D136*F136</f>
        <v>1</v>
      </c>
    </row>
    <row r="137" spans="1:11">
      <c r="A137" s="188" t="s">
        <v>3</v>
      </c>
      <c r="B137" s="1">
        <v>0.18</v>
      </c>
      <c r="C137" s="1">
        <v>0.08</v>
      </c>
      <c r="D137" s="1">
        <v>1</v>
      </c>
      <c r="E137" s="84" t="s">
        <v>27</v>
      </c>
      <c r="F137" s="3">
        <v>25</v>
      </c>
      <c r="G137" s="1">
        <f>3*B137*C137*D137*F137</f>
        <v>1.08</v>
      </c>
    </row>
    <row r="138" spans="1:11">
      <c r="A138" s="188" t="s">
        <v>4</v>
      </c>
      <c r="B138" s="1">
        <v>0.18</v>
      </c>
      <c r="C138" s="1">
        <v>0.33</v>
      </c>
      <c r="D138" s="1">
        <v>0.4</v>
      </c>
      <c r="E138" s="1">
        <v>7.5999999999999998E-2</v>
      </c>
      <c r="F138" s="3" t="s">
        <v>27</v>
      </c>
      <c r="G138" s="1">
        <f>J5*E138</f>
        <v>0.56999999999999995</v>
      </c>
    </row>
    <row r="139" spans="1:11" ht="15.75" thickBot="1">
      <c r="A139" s="8" t="s">
        <v>7</v>
      </c>
      <c r="B139" s="9"/>
      <c r="C139" s="9"/>
      <c r="D139" s="9"/>
      <c r="E139" s="9"/>
      <c r="F139" s="9"/>
      <c r="G139" s="149">
        <f>SUM(G136:G138)</f>
        <v>2.65</v>
      </c>
    </row>
    <row r="140" spans="1:11" ht="18" thickBot="1">
      <c r="A140" s="190"/>
      <c r="B140" s="188" t="s">
        <v>11</v>
      </c>
      <c r="C140" s="188" t="s">
        <v>12</v>
      </c>
      <c r="D140" s="199" t="s">
        <v>13</v>
      </c>
      <c r="E140" s="195"/>
      <c r="F140" s="189" t="s">
        <v>6</v>
      </c>
      <c r="G140" s="198" t="s">
        <v>31</v>
      </c>
    </row>
    <row r="141" spans="1:11">
      <c r="A141" s="188" t="s">
        <v>29</v>
      </c>
      <c r="B141" s="1">
        <v>1</v>
      </c>
      <c r="C141" s="1">
        <v>1</v>
      </c>
      <c r="D141" s="215">
        <v>0.04</v>
      </c>
      <c r="E141" s="84" t="s">
        <v>27</v>
      </c>
      <c r="F141" s="219">
        <v>18</v>
      </c>
      <c r="G141" s="1">
        <f>F141*D141*C141*B141</f>
        <v>0.72</v>
      </c>
    </row>
    <row r="142" spans="1:11">
      <c r="A142" s="188" t="s">
        <v>14</v>
      </c>
      <c r="B142" s="1">
        <v>1</v>
      </c>
      <c r="C142" s="1">
        <v>1</v>
      </c>
      <c r="D142" s="1">
        <v>0.02</v>
      </c>
      <c r="E142" s="84" t="s">
        <v>27</v>
      </c>
      <c r="F142" s="3">
        <v>22</v>
      </c>
      <c r="G142" s="1">
        <f>B142*C142*D142*F142</f>
        <v>0.44</v>
      </c>
    </row>
    <row r="143" spans="1:11">
      <c r="A143" s="200" t="s">
        <v>8</v>
      </c>
      <c r="B143" s="1">
        <v>1</v>
      </c>
      <c r="C143" s="1">
        <v>1</v>
      </c>
      <c r="D143" s="1">
        <v>0.02</v>
      </c>
      <c r="E143" s="84" t="s">
        <v>27</v>
      </c>
      <c r="F143" s="3">
        <v>20</v>
      </c>
      <c r="G143" s="1">
        <f>B143*C143*D143*F143</f>
        <v>0.4</v>
      </c>
    </row>
    <row r="144" spans="1:11">
      <c r="A144" s="8" t="s">
        <v>7</v>
      </c>
      <c r="B144" s="9"/>
      <c r="C144" s="9"/>
      <c r="D144" s="9"/>
      <c r="E144" s="9"/>
      <c r="F144" s="9"/>
      <c r="G144" s="217">
        <f>SUM(G141:G143,)</f>
        <v>1.56</v>
      </c>
    </row>
    <row r="147" spans="1:15" ht="21">
      <c r="A147" s="277" t="s">
        <v>204</v>
      </c>
      <c r="B147" s="302"/>
      <c r="C147" s="302"/>
      <c r="D147" s="302"/>
      <c r="E147" s="302"/>
      <c r="F147" s="302"/>
      <c r="G147" s="302"/>
      <c r="H147" s="302"/>
      <c r="I147" s="302"/>
      <c r="J147" s="302"/>
      <c r="K147" s="303"/>
    </row>
    <row r="148" spans="1:15" ht="18">
      <c r="A148" s="108"/>
      <c r="B148" s="214" t="s">
        <v>37</v>
      </c>
      <c r="C148" s="94" t="s">
        <v>38</v>
      </c>
      <c r="D148" s="94" t="s">
        <v>39</v>
      </c>
      <c r="E148" s="94" t="s">
        <v>40</v>
      </c>
      <c r="F148" s="94" t="s">
        <v>41</v>
      </c>
      <c r="G148" s="94" t="s">
        <v>42</v>
      </c>
      <c r="H148" s="94" t="s">
        <v>43</v>
      </c>
      <c r="I148" s="96" t="s">
        <v>57</v>
      </c>
      <c r="J148" s="96" t="s">
        <v>56</v>
      </c>
      <c r="K148" s="94" t="s">
        <v>55</v>
      </c>
    </row>
    <row r="149" spans="1:15" ht="17.25">
      <c r="A149" s="188" t="s">
        <v>202</v>
      </c>
      <c r="B149" s="7">
        <f>G139+G144</f>
        <v>4.21</v>
      </c>
      <c r="C149" s="215" t="s">
        <v>27</v>
      </c>
      <c r="D149" s="215">
        <v>2</v>
      </c>
      <c r="E149" s="7">
        <f>1.3*B149</f>
        <v>5.4729999999999999</v>
      </c>
      <c r="F149" s="215" t="s">
        <v>27</v>
      </c>
      <c r="G149" s="215">
        <f>D149*1.5</f>
        <v>3</v>
      </c>
      <c r="H149" s="23">
        <f>E149+G149</f>
        <v>8.472999999999999</v>
      </c>
      <c r="I149" s="215">
        <v>0.3</v>
      </c>
      <c r="J149" s="215">
        <f>I149*D149</f>
        <v>0.6</v>
      </c>
      <c r="K149" s="27">
        <f>B149+D149*I149</f>
        <v>4.8099999999999996</v>
      </c>
    </row>
    <row r="150" spans="1:15" ht="17.25">
      <c r="A150" s="188" t="s">
        <v>203</v>
      </c>
      <c r="B150" s="1" t="s">
        <v>27</v>
      </c>
      <c r="C150" s="1" t="s">
        <v>27</v>
      </c>
      <c r="D150" s="1" t="s">
        <v>27</v>
      </c>
      <c r="E150" s="30" t="s">
        <v>27</v>
      </c>
      <c r="F150" s="1" t="s">
        <v>27</v>
      </c>
      <c r="G150" s="1" t="s">
        <v>27</v>
      </c>
      <c r="H150" s="24" t="s">
        <v>27</v>
      </c>
      <c r="I150" s="1" t="s">
        <v>27</v>
      </c>
      <c r="J150" s="1" t="s">
        <v>27</v>
      </c>
      <c r="K150" s="4" t="s">
        <v>27</v>
      </c>
    </row>
    <row r="151" spans="1:15">
      <c r="A151" s="188" t="s">
        <v>198</v>
      </c>
      <c r="B151" s="1" t="s">
        <v>27</v>
      </c>
      <c r="C151" s="1" t="s">
        <v>27</v>
      </c>
      <c r="D151" s="1" t="s">
        <v>27</v>
      </c>
      <c r="E151" s="30" t="s">
        <v>27</v>
      </c>
      <c r="F151" s="1" t="s">
        <v>27</v>
      </c>
      <c r="G151" s="1" t="s">
        <v>27</v>
      </c>
      <c r="H151" s="24" t="s">
        <v>27</v>
      </c>
      <c r="I151" s="1" t="s">
        <v>27</v>
      </c>
      <c r="J151" s="1" t="s">
        <v>27</v>
      </c>
      <c r="K151" s="28" t="str">
        <f>B151</f>
        <v>-</v>
      </c>
    </row>
    <row r="152" spans="1:15">
      <c r="A152" s="188" t="s">
        <v>199</v>
      </c>
      <c r="B152" s="1">
        <f>G42</f>
        <v>3.85</v>
      </c>
      <c r="C152" s="1" t="s">
        <v>27</v>
      </c>
      <c r="D152" s="1" t="s">
        <v>27</v>
      </c>
      <c r="E152" s="1">
        <f>1.3*B152</f>
        <v>5.0049999999999999</v>
      </c>
      <c r="F152" s="20" t="s">
        <v>27</v>
      </c>
      <c r="G152" s="20" t="s">
        <v>27</v>
      </c>
      <c r="H152" s="25">
        <f>E152</f>
        <v>5.0049999999999999</v>
      </c>
      <c r="I152" s="20" t="s">
        <v>27</v>
      </c>
      <c r="J152" s="1" t="s">
        <v>27</v>
      </c>
      <c r="K152" s="28">
        <f>B152</f>
        <v>3.85</v>
      </c>
    </row>
    <row r="153" spans="1:15">
      <c r="A153" s="188" t="s">
        <v>200</v>
      </c>
      <c r="B153" s="20" t="s">
        <v>27</v>
      </c>
      <c r="C153" s="20" t="s">
        <v>27</v>
      </c>
      <c r="D153" s="20" t="s">
        <v>27</v>
      </c>
      <c r="E153" s="20" t="s">
        <v>27</v>
      </c>
      <c r="F153" s="20" t="s">
        <v>27</v>
      </c>
      <c r="G153" s="20" t="s">
        <v>27</v>
      </c>
      <c r="H153" s="25" t="s">
        <v>27</v>
      </c>
      <c r="I153" s="20" t="s">
        <v>27</v>
      </c>
      <c r="J153" s="20" t="s">
        <v>27</v>
      </c>
      <c r="K153" s="28" t="str">
        <f>B153</f>
        <v>-</v>
      </c>
    </row>
    <row r="154" spans="1:15" ht="17.25">
      <c r="A154" s="188" t="s">
        <v>201</v>
      </c>
      <c r="B154" s="2" t="s">
        <v>27</v>
      </c>
      <c r="C154" s="2" t="s">
        <v>27</v>
      </c>
      <c r="D154" s="2" t="s">
        <v>27</v>
      </c>
      <c r="E154" s="2" t="s">
        <v>27</v>
      </c>
      <c r="F154" s="21" t="s">
        <v>27</v>
      </c>
      <c r="G154" s="21" t="s">
        <v>27</v>
      </c>
      <c r="H154" s="26" t="s">
        <v>27</v>
      </c>
      <c r="I154" s="21" t="s">
        <v>27</v>
      </c>
      <c r="J154" s="2" t="s">
        <v>27</v>
      </c>
      <c r="K154" s="29" t="str">
        <f>B154</f>
        <v>-</v>
      </c>
    </row>
    <row r="157" spans="1:15" ht="15.75" thickBot="1"/>
    <row r="158" spans="1:15" ht="15.75" thickBot="1">
      <c r="A158" s="286" t="s">
        <v>205</v>
      </c>
      <c r="B158" s="287"/>
      <c r="C158" s="287"/>
      <c r="D158" s="287"/>
      <c r="E158" s="287"/>
      <c r="F158" s="287"/>
      <c r="G158" s="288"/>
      <c r="I158" s="280" t="s">
        <v>136</v>
      </c>
      <c r="J158" s="281"/>
      <c r="K158" s="281"/>
      <c r="L158" s="281"/>
      <c r="M158" s="281"/>
      <c r="N158" s="281"/>
      <c r="O158" s="282"/>
    </row>
    <row r="159" spans="1:15" ht="18" thickBot="1">
      <c r="A159" s="197"/>
      <c r="B159" s="188" t="s">
        <v>11</v>
      </c>
      <c r="C159" s="188" t="s">
        <v>86</v>
      </c>
      <c r="D159" s="188" t="s">
        <v>225</v>
      </c>
      <c r="E159" s="188" t="s">
        <v>5</v>
      </c>
      <c r="F159" s="189" t="s">
        <v>6</v>
      </c>
      <c r="G159" s="198" t="s">
        <v>30</v>
      </c>
      <c r="I159" s="145"/>
      <c r="J159" s="95" t="s">
        <v>11</v>
      </c>
      <c r="K159" s="95" t="s">
        <v>12</v>
      </c>
      <c r="L159" s="95" t="s">
        <v>13</v>
      </c>
      <c r="M159" s="95" t="s">
        <v>5</v>
      </c>
      <c r="N159" s="112" t="s">
        <v>6</v>
      </c>
      <c r="O159" s="146" t="s">
        <v>30</v>
      </c>
    </row>
    <row r="160" spans="1:15">
      <c r="A160" s="188" t="s">
        <v>2</v>
      </c>
      <c r="B160" s="1">
        <v>0.16</v>
      </c>
      <c r="C160" s="1">
        <v>1</v>
      </c>
      <c r="D160" s="1">
        <v>1</v>
      </c>
      <c r="E160" s="84" t="s">
        <v>27</v>
      </c>
      <c r="F160" s="3">
        <v>25</v>
      </c>
      <c r="G160" s="201">
        <f>B160*C160*D160*F160</f>
        <v>4</v>
      </c>
      <c r="I160" s="95" t="s">
        <v>2</v>
      </c>
      <c r="J160" s="215">
        <v>0.04</v>
      </c>
      <c r="K160" s="215">
        <v>1.3</v>
      </c>
      <c r="L160" s="215">
        <v>1</v>
      </c>
      <c r="M160" s="215" t="s">
        <v>27</v>
      </c>
      <c r="N160" s="219">
        <v>25</v>
      </c>
      <c r="O160" s="1">
        <f>J160*K160*L160*25</f>
        <v>1.3</v>
      </c>
    </row>
    <row r="161" spans="1:17">
      <c r="A161" s="188" t="s">
        <v>226</v>
      </c>
      <c r="B161" s="1">
        <v>0.16</v>
      </c>
      <c r="C161" s="1">
        <v>0.3</v>
      </c>
      <c r="D161" s="1">
        <v>1</v>
      </c>
      <c r="E161" s="84" t="s">
        <v>27</v>
      </c>
      <c r="F161" s="3">
        <v>8</v>
      </c>
      <c r="G161" s="1">
        <f>(B161*C161/2)*D161*F161/0.3</f>
        <v>0.64</v>
      </c>
      <c r="I161" s="95" t="s">
        <v>3</v>
      </c>
      <c r="J161" s="1">
        <v>0.18</v>
      </c>
      <c r="K161" s="1">
        <v>0.08</v>
      </c>
      <c r="L161" s="1">
        <v>1</v>
      </c>
      <c r="M161" s="1" t="s">
        <v>27</v>
      </c>
      <c r="N161" s="3">
        <v>25</v>
      </c>
      <c r="O161" s="1">
        <f>3*K161*J161*L161*N161</f>
        <v>1.0799999999999998</v>
      </c>
    </row>
    <row r="162" spans="1:17" ht="15.75" thickBot="1">
      <c r="A162" s="8" t="s">
        <v>7</v>
      </c>
      <c r="B162" s="9"/>
      <c r="C162" s="9"/>
      <c r="D162" s="9"/>
      <c r="E162" s="9"/>
      <c r="F162" s="9"/>
      <c r="G162" s="217">
        <f>SUM(G159:G161)</f>
        <v>4.6399999999999997</v>
      </c>
      <c r="I162" s="95" t="s">
        <v>4</v>
      </c>
      <c r="J162" s="1">
        <v>0.18</v>
      </c>
      <c r="K162" s="1">
        <v>0.33</v>
      </c>
      <c r="L162" s="1">
        <v>0.4</v>
      </c>
      <c r="M162" s="1">
        <v>7.5999999999999998E-2</v>
      </c>
      <c r="N162" s="3" t="s">
        <v>27</v>
      </c>
      <c r="O162" s="1">
        <f>2*M162</f>
        <v>0.152</v>
      </c>
    </row>
    <row r="163" spans="1:17" ht="18" thickBot="1">
      <c r="A163" s="190" t="s">
        <v>227</v>
      </c>
      <c r="B163" s="188" t="s">
        <v>11</v>
      </c>
      <c r="C163" s="188" t="s">
        <v>12</v>
      </c>
      <c r="D163" s="202" t="s">
        <v>13</v>
      </c>
      <c r="E163" s="195"/>
      <c r="F163" s="203" t="s">
        <v>6</v>
      </c>
      <c r="G163" s="204" t="s">
        <v>31</v>
      </c>
      <c r="I163" s="8" t="s">
        <v>7</v>
      </c>
      <c r="J163" s="9"/>
      <c r="K163" s="9"/>
      <c r="L163" s="9"/>
      <c r="M163" s="9"/>
      <c r="N163" s="9"/>
      <c r="O163" s="70">
        <f>SUM(O160:O162)</f>
        <v>2.532</v>
      </c>
      <c r="P163" s="70">
        <f>O163/1.3</f>
        <v>1.9476923076923076</v>
      </c>
      <c r="Q163" s="70">
        <f>P163/COS(0.48)</f>
        <v>2.1958325326028532</v>
      </c>
    </row>
    <row r="164" spans="1:17" ht="18" thickBot="1">
      <c r="A164" s="188" t="s">
        <v>228</v>
      </c>
      <c r="B164" s="215">
        <v>0.32</v>
      </c>
      <c r="C164" s="215">
        <v>1</v>
      </c>
      <c r="D164" s="215">
        <v>0.02</v>
      </c>
      <c r="E164" s="59"/>
      <c r="F164" s="215">
        <v>28</v>
      </c>
      <c r="G164" s="205">
        <f>B164*C164*D164*F164/0.3</f>
        <v>0.59733333333333338</v>
      </c>
      <c r="I164" s="145"/>
      <c r="J164" s="97" t="s">
        <v>11</v>
      </c>
      <c r="K164" s="97" t="s">
        <v>12</v>
      </c>
      <c r="L164" s="97" t="s">
        <v>13</v>
      </c>
      <c r="M164" s="145"/>
      <c r="N164" s="112" t="s">
        <v>6</v>
      </c>
      <c r="O164" s="153" t="s">
        <v>31</v>
      </c>
    </row>
    <row r="165" spans="1:17">
      <c r="A165" s="200"/>
      <c r="B165" s="1"/>
      <c r="C165" s="1"/>
      <c r="D165" s="1"/>
      <c r="E165" s="62"/>
      <c r="F165" s="1"/>
      <c r="G165" s="205"/>
      <c r="I165" s="112" t="s">
        <v>229</v>
      </c>
      <c r="J165" s="69">
        <v>0.16</v>
      </c>
      <c r="K165" s="69">
        <v>0.3</v>
      </c>
      <c r="L165" s="69">
        <v>1</v>
      </c>
      <c r="M165" s="12"/>
      <c r="N165" s="69">
        <v>8</v>
      </c>
      <c r="O165" s="206">
        <f>(J165*K165/2)*N165*L165/0.3</f>
        <v>0.64</v>
      </c>
    </row>
    <row r="166" spans="1:17">
      <c r="A166" s="200" t="s">
        <v>230</v>
      </c>
      <c r="B166" s="1">
        <v>0.32</v>
      </c>
      <c r="C166" s="1">
        <v>1</v>
      </c>
      <c r="D166" s="1">
        <v>0.02</v>
      </c>
      <c r="E166" s="3" t="s">
        <v>27</v>
      </c>
      <c r="F166" s="1">
        <v>18</v>
      </c>
      <c r="G166" s="4">
        <f>B166*C166*D166*F166/0.3</f>
        <v>0.38400000000000006</v>
      </c>
      <c r="I166" s="95" t="s">
        <v>228</v>
      </c>
      <c r="J166" s="1">
        <v>0.13</v>
      </c>
      <c r="K166" s="1">
        <v>0.35</v>
      </c>
      <c r="L166" s="1">
        <v>0.03</v>
      </c>
      <c r="M166" s="84" t="s">
        <v>27</v>
      </c>
      <c r="N166" s="20">
        <v>27</v>
      </c>
      <c r="O166" s="79">
        <f>(J166+K166)*L166*N166*1/0.3</f>
        <v>1.296</v>
      </c>
    </row>
    <row r="167" spans="1:17">
      <c r="A167" s="190" t="s">
        <v>231</v>
      </c>
      <c r="B167" s="188"/>
      <c r="C167" s="188"/>
      <c r="D167" s="188"/>
      <c r="E167" s="189" t="s">
        <v>27</v>
      </c>
      <c r="F167" s="188"/>
      <c r="G167" s="207"/>
      <c r="I167" s="95" t="s">
        <v>232</v>
      </c>
      <c r="J167" s="1">
        <v>0.16</v>
      </c>
      <c r="K167" s="1">
        <v>0.3</v>
      </c>
      <c r="L167" s="1">
        <v>0.03</v>
      </c>
      <c r="M167" s="84" t="s">
        <v>27</v>
      </c>
      <c r="N167" s="1">
        <v>20</v>
      </c>
      <c r="O167" s="1">
        <f>(J167+K167)*L167*N167*1/0.3</f>
        <v>0.91999999999999993</v>
      </c>
    </row>
    <row r="168" spans="1:17">
      <c r="A168" s="208" t="s">
        <v>228</v>
      </c>
      <c r="B168" s="1">
        <v>0.16</v>
      </c>
      <c r="C168" s="1">
        <v>1</v>
      </c>
      <c r="D168" s="1">
        <v>0.02</v>
      </c>
      <c r="E168" s="3"/>
      <c r="F168" s="1">
        <v>28</v>
      </c>
      <c r="G168" s="79">
        <f>B168*C168*D168*F168/0.3</f>
        <v>0.29866666666666669</v>
      </c>
      <c r="I168" s="97" t="s">
        <v>8</v>
      </c>
      <c r="J168" s="1">
        <v>1</v>
      </c>
      <c r="K168" s="1">
        <v>0.34</v>
      </c>
      <c r="L168" s="1">
        <v>0.02</v>
      </c>
      <c r="M168" s="84" t="s">
        <v>27</v>
      </c>
      <c r="N168" s="1">
        <v>16</v>
      </c>
      <c r="O168" s="30">
        <f>K168*L168*N168*J168/0.3</f>
        <v>0.36266666666666669</v>
      </c>
    </row>
    <row r="169" spans="1:17" ht="15.75" thickBot="1">
      <c r="A169" s="200" t="s">
        <v>230</v>
      </c>
      <c r="B169" s="2">
        <v>0.16</v>
      </c>
      <c r="C169" s="2">
        <v>1</v>
      </c>
      <c r="D169" s="2">
        <v>0.02</v>
      </c>
      <c r="E169" s="122" t="s">
        <v>27</v>
      </c>
      <c r="F169" s="2">
        <v>18</v>
      </c>
      <c r="G169" s="142">
        <f>B169*C169*D169*F169/0.3</f>
        <v>0.19200000000000003</v>
      </c>
      <c r="I169" s="8" t="s">
        <v>7</v>
      </c>
      <c r="J169" s="9"/>
      <c r="K169" s="9"/>
      <c r="L169" s="9"/>
      <c r="M169" s="9"/>
      <c r="N169" s="9"/>
      <c r="O169" s="209">
        <f>SUM(O165:O168)</f>
        <v>3.2186666666666666</v>
      </c>
    </row>
    <row r="170" spans="1:17" ht="15.75" thickBot="1">
      <c r="A170" s="8" t="s">
        <v>7</v>
      </c>
      <c r="B170" s="9"/>
      <c r="C170" s="9"/>
      <c r="D170" s="9"/>
      <c r="E170" s="9"/>
      <c r="F170" s="210"/>
      <c r="G170" s="10">
        <f>SUM(G164:G169)</f>
        <v>1.472</v>
      </c>
      <c r="N170" s="211" t="s">
        <v>233</v>
      </c>
      <c r="O170" s="72">
        <f>Q163+O169</f>
        <v>5.4144991992695193</v>
      </c>
    </row>
    <row r="171" spans="1:17">
      <c r="A171" s="190"/>
      <c r="B171" s="218" t="s">
        <v>27</v>
      </c>
      <c r="C171" s="51" t="s">
        <v>27</v>
      </c>
      <c r="D171" s="51" t="s">
        <v>27</v>
      </c>
      <c r="E171" s="51" t="s">
        <v>27</v>
      </c>
      <c r="F171" s="51" t="s">
        <v>27</v>
      </c>
      <c r="G171" s="141">
        <f>G162+G170</f>
        <v>6.1120000000000001</v>
      </c>
    </row>
    <row r="172" spans="1:17" ht="15.75" thickBot="1"/>
    <row r="173" spans="1:17" ht="18" thickBot="1">
      <c r="A173" s="190" t="s">
        <v>234</v>
      </c>
      <c r="B173" s="188" t="s">
        <v>11</v>
      </c>
      <c r="C173" s="188" t="s">
        <v>12</v>
      </c>
      <c r="D173" s="202" t="s">
        <v>13</v>
      </c>
      <c r="E173" s="195"/>
      <c r="F173" s="203" t="s">
        <v>6</v>
      </c>
      <c r="G173" s="204" t="s">
        <v>31</v>
      </c>
    </row>
    <row r="174" spans="1:17">
      <c r="A174" s="188" t="s">
        <v>228</v>
      </c>
      <c r="B174" s="215" t="s">
        <v>27</v>
      </c>
      <c r="C174" s="215" t="s">
        <v>27</v>
      </c>
      <c r="D174" s="84">
        <v>0.02</v>
      </c>
      <c r="E174" s="59"/>
      <c r="F174" s="215">
        <v>28</v>
      </c>
      <c r="G174" s="205">
        <f>D174*F174</f>
        <v>0.56000000000000005</v>
      </c>
    </row>
    <row r="175" spans="1:17">
      <c r="A175" s="200" t="s">
        <v>230</v>
      </c>
      <c r="B175" s="1" t="s">
        <v>27</v>
      </c>
      <c r="C175" s="1" t="s">
        <v>27</v>
      </c>
      <c r="D175" s="84">
        <v>0.02</v>
      </c>
      <c r="E175" s="3" t="s">
        <v>27</v>
      </c>
      <c r="F175" s="1">
        <v>18</v>
      </c>
      <c r="G175" s="205">
        <f>D175*F175</f>
        <v>0.36</v>
      </c>
    </row>
    <row r="176" spans="1:17">
      <c r="A176" s="200" t="s">
        <v>8</v>
      </c>
      <c r="B176" s="1" t="s">
        <v>27</v>
      </c>
      <c r="C176" s="1" t="s">
        <v>27</v>
      </c>
      <c r="D176" s="84">
        <v>0.02</v>
      </c>
      <c r="E176" s="3" t="s">
        <v>27</v>
      </c>
      <c r="F176" s="1">
        <v>14</v>
      </c>
      <c r="G176" s="205">
        <f>D176*F176</f>
        <v>0.28000000000000003</v>
      </c>
    </row>
    <row r="177" spans="1:7">
      <c r="A177" s="8" t="s">
        <v>7</v>
      </c>
      <c r="B177" s="9"/>
      <c r="C177" s="9"/>
      <c r="D177" s="9"/>
      <c r="E177" s="9"/>
      <c r="F177" s="210"/>
      <c r="G177" s="212">
        <f>SUM(G174:G176)</f>
        <v>1.2000000000000002</v>
      </c>
    </row>
    <row r="178" spans="1:7" ht="15.75" thickBot="1"/>
    <row r="179" spans="1:7" ht="15.75" thickBot="1">
      <c r="F179" s="211" t="s">
        <v>233</v>
      </c>
      <c r="G179" s="213">
        <f>G171+G177</f>
        <v>7.3120000000000003</v>
      </c>
    </row>
  </sheetData>
  <mergeCells count="30">
    <mergeCell ref="A110:G110"/>
    <mergeCell ref="A124:K124"/>
    <mergeCell ref="A134:G134"/>
    <mergeCell ref="A147:K147"/>
    <mergeCell ref="A158:G158"/>
    <mergeCell ref="I158:O158"/>
    <mergeCell ref="O75:T75"/>
    <mergeCell ref="A79:B79"/>
    <mergeCell ref="O80:T80"/>
    <mergeCell ref="O84:T84"/>
    <mergeCell ref="O88:T88"/>
    <mergeCell ref="A98:B98"/>
    <mergeCell ref="A58:B58"/>
    <mergeCell ref="C58:H58"/>
    <mergeCell ref="A67:B67"/>
    <mergeCell ref="C67:H67"/>
    <mergeCell ref="A75:F75"/>
    <mergeCell ref="H75:M75"/>
    <mergeCell ref="A47:K47"/>
    <mergeCell ref="A1:G1"/>
    <mergeCell ref="N1:O1"/>
    <mergeCell ref="J5:K5"/>
    <mergeCell ref="A14:G14"/>
    <mergeCell ref="J15:K15"/>
    <mergeCell ref="J16:K16"/>
    <mergeCell ref="A27:G27"/>
    <mergeCell ref="L27:Q27"/>
    <mergeCell ref="A33:G33"/>
    <mergeCell ref="I33:O33"/>
    <mergeCell ref="A40:G40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K4" sqref="K4"/>
    </sheetView>
  </sheetViews>
  <sheetFormatPr defaultRowHeight="15"/>
  <cols>
    <col min="2" max="2" width="12.5703125" customWidth="1"/>
    <col min="3" max="3" width="24.85546875" customWidth="1"/>
    <col min="4" max="4" width="22.7109375" customWidth="1"/>
    <col min="5" max="5" width="24.42578125" customWidth="1"/>
    <col min="6" max="6" width="16.5703125" customWidth="1"/>
    <col min="7" max="7" width="14.42578125" customWidth="1"/>
    <col min="10" max="10" width="12" customWidth="1"/>
    <col min="11" max="11" width="17" customWidth="1"/>
  </cols>
  <sheetData>
    <row r="1" spans="2:11" ht="15.75" thickBot="1"/>
    <row r="2" spans="2:11" ht="18" thickBot="1">
      <c r="B2" s="94" t="s">
        <v>75</v>
      </c>
      <c r="C2" s="94" t="s">
        <v>76</v>
      </c>
      <c r="D2" s="94" t="s">
        <v>149</v>
      </c>
      <c r="E2" s="94" t="s">
        <v>89</v>
      </c>
      <c r="F2" s="94" t="s">
        <v>77</v>
      </c>
      <c r="J2" s="304" t="s">
        <v>91</v>
      </c>
      <c r="K2" s="305"/>
    </row>
    <row r="3" spans="2:11" ht="18">
      <c r="B3" s="95" t="s">
        <v>140</v>
      </c>
      <c r="C3" s="221">
        <f>27.03+418.13</f>
        <v>445.15999999999997</v>
      </c>
      <c r="D3" s="80">
        <v>9</v>
      </c>
      <c r="E3" s="85">
        <f t="shared" ref="E3:E8" si="0">C3*D3</f>
        <v>4006.4399999999996</v>
      </c>
      <c r="F3" s="7">
        <f t="shared" ref="F3:F8" si="1">E3/9.81</f>
        <v>408.40366972477057</v>
      </c>
      <c r="J3" s="98" t="s">
        <v>78</v>
      </c>
      <c r="K3" s="2">
        <v>7.4999999999999997E-2</v>
      </c>
    </row>
    <row r="4" spans="2:11">
      <c r="B4" s="95">
        <v>5</v>
      </c>
      <c r="C4" s="1">
        <v>403.95</v>
      </c>
      <c r="D4" s="1">
        <v>10</v>
      </c>
      <c r="E4" s="39">
        <f t="shared" si="0"/>
        <v>4039.5</v>
      </c>
      <c r="F4" s="30">
        <f t="shared" si="1"/>
        <v>411.77370030581039</v>
      </c>
      <c r="J4" s="95" t="s">
        <v>79</v>
      </c>
      <c r="K4" s="15">
        <f>3.2*5+3.7</f>
        <v>19.7</v>
      </c>
    </row>
    <row r="5" spans="2:11" ht="18">
      <c r="B5" s="95">
        <v>4</v>
      </c>
      <c r="C5" s="1">
        <v>403.95</v>
      </c>
      <c r="D5" s="1">
        <v>10</v>
      </c>
      <c r="E5" s="39">
        <f t="shared" si="0"/>
        <v>4039.5</v>
      </c>
      <c r="F5" s="30">
        <f t="shared" si="1"/>
        <v>411.77370030581039</v>
      </c>
      <c r="J5" s="95" t="s">
        <v>80</v>
      </c>
      <c r="K5" s="40">
        <f>K3*(K4)^(3/4)</f>
        <v>0.7013114556897867</v>
      </c>
    </row>
    <row r="6" spans="2:11">
      <c r="B6" s="95">
        <v>3</v>
      </c>
      <c r="C6" s="1">
        <v>403.95</v>
      </c>
      <c r="D6" s="1">
        <v>10</v>
      </c>
      <c r="E6" s="39">
        <f t="shared" si="0"/>
        <v>4039.5</v>
      </c>
      <c r="F6" s="30">
        <f t="shared" si="1"/>
        <v>411.77370030581039</v>
      </c>
      <c r="J6" s="95" t="s">
        <v>82</v>
      </c>
      <c r="K6" s="40">
        <f>[1]Dati!$D$28</f>
        <v>9.253688480091575E-2</v>
      </c>
    </row>
    <row r="7" spans="2:11">
      <c r="B7" s="95">
        <v>2</v>
      </c>
      <c r="C7" s="1">
        <v>403.95</v>
      </c>
      <c r="D7" s="1">
        <v>10</v>
      </c>
      <c r="E7" s="39">
        <f t="shared" si="0"/>
        <v>4039.5</v>
      </c>
      <c r="F7" s="30">
        <f t="shared" si="1"/>
        <v>411.77370030581039</v>
      </c>
      <c r="J7" s="95" t="s">
        <v>83</v>
      </c>
      <c r="K7" s="41">
        <f>0.85*E9*K6</f>
        <v>1854.1929307598959</v>
      </c>
    </row>
    <row r="8" spans="2:11" ht="15.75" thickBot="1">
      <c r="B8" s="95">
        <v>1</v>
      </c>
      <c r="C8" s="2">
        <v>340.89</v>
      </c>
      <c r="D8" s="2">
        <v>10</v>
      </c>
      <c r="E8" s="39">
        <f t="shared" si="0"/>
        <v>3408.8999999999996</v>
      </c>
      <c r="F8" s="30">
        <f t="shared" si="1"/>
        <v>347.4923547400611</v>
      </c>
    </row>
    <row r="9" spans="2:11" ht="15.75" thickBot="1">
      <c r="B9" s="228" t="s">
        <v>7</v>
      </c>
      <c r="C9" s="229"/>
      <c r="D9" s="229"/>
      <c r="E9" s="230">
        <f>SUM(E3:E8)</f>
        <v>23573.339999999997</v>
      </c>
      <c r="F9" s="233">
        <f>SUM(F3:F8)</f>
        <v>2402.9908256880735</v>
      </c>
    </row>
    <row r="13" spans="2:11">
      <c r="B13" s="94" t="s">
        <v>75</v>
      </c>
      <c r="C13" s="94" t="s">
        <v>88</v>
      </c>
      <c r="D13" s="94" t="s">
        <v>81</v>
      </c>
      <c r="E13" s="94" t="s">
        <v>90</v>
      </c>
      <c r="F13" s="96" t="s">
        <v>155</v>
      </c>
      <c r="G13" s="96" t="s">
        <v>156</v>
      </c>
    </row>
    <row r="14" spans="2:11">
      <c r="B14" s="95" t="s">
        <v>140</v>
      </c>
      <c r="C14" s="85">
        <f t="shared" ref="C14:C19" si="2">E3</f>
        <v>4006.4399999999996</v>
      </c>
      <c r="D14" s="80">
        <f>K4</f>
        <v>19.7</v>
      </c>
      <c r="E14" s="85">
        <f t="shared" ref="E14:E19" si="3">C14*D14</f>
        <v>78926.867999999988</v>
      </c>
      <c r="F14" s="7">
        <f t="shared" ref="F14:F19" si="4">E14/$E$20*$K$7</f>
        <v>521.56697046546958</v>
      </c>
      <c r="G14" s="7">
        <f>F14</f>
        <v>521.56697046546958</v>
      </c>
    </row>
    <row r="15" spans="2:11">
      <c r="B15" s="95">
        <v>5</v>
      </c>
      <c r="C15" s="39">
        <f t="shared" si="2"/>
        <v>4039.5</v>
      </c>
      <c r="D15" s="1">
        <f>D14-3.2</f>
        <v>16.5</v>
      </c>
      <c r="E15" s="39">
        <f t="shared" si="3"/>
        <v>66651.75</v>
      </c>
      <c r="F15" s="30">
        <f t="shared" si="4"/>
        <v>440.45015600672093</v>
      </c>
      <c r="G15" s="30">
        <f>G14+F15</f>
        <v>962.01712647219051</v>
      </c>
    </row>
    <row r="16" spans="2:11">
      <c r="B16" s="95">
        <v>4</v>
      </c>
      <c r="C16" s="39">
        <f t="shared" si="2"/>
        <v>4039.5</v>
      </c>
      <c r="D16" s="1">
        <f>D15-3.2</f>
        <v>13.3</v>
      </c>
      <c r="E16" s="39">
        <f t="shared" si="3"/>
        <v>53725.350000000006</v>
      </c>
      <c r="F16" s="30">
        <f t="shared" si="4"/>
        <v>355.029519690266</v>
      </c>
      <c r="G16" s="30">
        <f>G15+F16</f>
        <v>1317.0466461624565</v>
      </c>
    </row>
    <row r="17" spans="1:11">
      <c r="B17" s="95">
        <v>3</v>
      </c>
      <c r="C17" s="39">
        <f t="shared" si="2"/>
        <v>4039.5</v>
      </c>
      <c r="D17" s="1">
        <f>D16-3.2</f>
        <v>10.100000000000001</v>
      </c>
      <c r="E17" s="39">
        <f t="shared" si="3"/>
        <v>40798.950000000004</v>
      </c>
      <c r="F17" s="30">
        <f t="shared" si="4"/>
        <v>269.60888337381107</v>
      </c>
      <c r="G17" s="30">
        <f>G16+F17</f>
        <v>1586.6555295362675</v>
      </c>
    </row>
    <row r="18" spans="1:11">
      <c r="B18" s="95">
        <v>2</v>
      </c>
      <c r="C18" s="39">
        <f t="shared" si="2"/>
        <v>4039.5</v>
      </c>
      <c r="D18" s="1">
        <f>D17-3.2</f>
        <v>6.9000000000000012</v>
      </c>
      <c r="E18" s="39">
        <f t="shared" si="3"/>
        <v>27872.550000000007</v>
      </c>
      <c r="F18" s="30">
        <f t="shared" si="4"/>
        <v>184.18824705735608</v>
      </c>
      <c r="G18" s="30">
        <f>G17+F18</f>
        <v>1770.8437765936237</v>
      </c>
    </row>
    <row r="19" spans="1:11" ht="15.75" thickBot="1">
      <c r="B19" s="97">
        <v>1</v>
      </c>
      <c r="C19" s="39">
        <f t="shared" si="2"/>
        <v>3408.8999999999996</v>
      </c>
      <c r="D19" s="2">
        <f>D18-3.2</f>
        <v>3.7000000000000011</v>
      </c>
      <c r="E19" s="39">
        <f t="shared" si="3"/>
        <v>12612.930000000002</v>
      </c>
      <c r="F19" s="55">
        <f t="shared" si="4"/>
        <v>83.34915416627247</v>
      </c>
      <c r="G19" s="55">
        <f>G18+F19</f>
        <v>1854.1929307598962</v>
      </c>
    </row>
    <row r="20" spans="1:11" ht="15.75" thickBot="1">
      <c r="B20" s="231" t="s">
        <v>7</v>
      </c>
      <c r="C20" s="230">
        <f>SUM(C14:C19)</f>
        <v>23573.339999999997</v>
      </c>
      <c r="D20" s="229"/>
      <c r="E20" s="230">
        <f>SUM(E14:E19)</f>
        <v>280588.39799999999</v>
      </c>
      <c r="F20" s="229"/>
      <c r="G20" s="232"/>
    </row>
    <row r="22" spans="1:11">
      <c r="B22" s="11"/>
      <c r="C22" s="11"/>
      <c r="D22" s="11"/>
      <c r="E22" s="134"/>
      <c r="F22" s="53"/>
      <c r="G22" s="53"/>
    </row>
    <row r="23" spans="1:11">
      <c r="B23" s="11"/>
      <c r="C23" s="11"/>
      <c r="D23" s="11"/>
      <c r="E23" s="11"/>
      <c r="F23" s="53"/>
      <c r="G23" s="53"/>
    </row>
    <row r="24" spans="1:11">
      <c r="B24" s="12"/>
      <c r="C24" s="11"/>
      <c r="D24" s="12"/>
      <c r="E24" s="134"/>
      <c r="F24" s="12"/>
      <c r="G24" s="12"/>
    </row>
    <row r="27" spans="1:11">
      <c r="A27" s="127"/>
      <c r="B27" s="306"/>
      <c r="C27" s="307"/>
      <c r="D27" s="307"/>
      <c r="E27" s="307"/>
      <c r="F27" s="307"/>
      <c r="G27" s="307"/>
      <c r="H27" s="307"/>
      <c r="I27" s="307"/>
      <c r="J27" s="307"/>
      <c r="K27" s="307"/>
    </row>
  </sheetData>
  <mergeCells count="2">
    <mergeCell ref="J2:K2"/>
    <mergeCell ref="B27:K27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V47"/>
  <sheetViews>
    <sheetView workbookViewId="0">
      <selection activeCell="D13" sqref="D13"/>
    </sheetView>
  </sheetViews>
  <sheetFormatPr defaultRowHeight="15"/>
  <cols>
    <col min="1" max="1" width="7.85546875" customWidth="1"/>
    <col min="2" max="2" width="18.28515625" customWidth="1"/>
    <col min="3" max="3" width="13.42578125" customWidth="1"/>
    <col min="4" max="4" width="18.85546875" customWidth="1"/>
    <col min="5" max="5" width="14.85546875" customWidth="1"/>
    <col min="6" max="6" width="15.5703125" customWidth="1"/>
    <col min="7" max="7" width="16.5703125" customWidth="1"/>
    <col min="8" max="8" width="14.7109375" customWidth="1"/>
    <col min="9" max="9" width="19.42578125" customWidth="1"/>
    <col min="10" max="10" width="14" customWidth="1"/>
    <col min="13" max="13" width="14.7109375" customWidth="1"/>
    <col min="14" max="14" width="12.140625" customWidth="1"/>
    <col min="15" max="15" width="19.42578125" customWidth="1"/>
    <col min="16" max="16" width="16.7109375" customWidth="1"/>
    <col min="17" max="17" width="14.85546875" customWidth="1"/>
    <col min="18" max="18" width="23" customWidth="1"/>
    <col min="19" max="19" width="15.7109375" customWidth="1"/>
    <col min="20" max="20" width="19.140625" customWidth="1"/>
    <col min="21" max="21" width="14.42578125" customWidth="1"/>
  </cols>
  <sheetData>
    <row r="3" spans="2:22" ht="15.75" thickBot="1">
      <c r="B3" s="108"/>
      <c r="C3" s="96" t="s">
        <v>95</v>
      </c>
      <c r="D3" s="96" t="s">
        <v>94</v>
      </c>
    </row>
    <row r="4" spans="2:22" ht="15.75" thickBot="1">
      <c r="B4" s="150" t="s">
        <v>93</v>
      </c>
      <c r="C4" s="241">
        <v>16</v>
      </c>
      <c r="D4" s="42">
        <v>14</v>
      </c>
    </row>
    <row r="5" spans="2:22">
      <c r="B5" s="93" t="s">
        <v>96</v>
      </c>
      <c r="C5" s="2">
        <v>2</v>
      </c>
      <c r="D5" s="2">
        <v>2</v>
      </c>
    </row>
    <row r="7" spans="2:22">
      <c r="B7" s="96" t="s">
        <v>98</v>
      </c>
      <c r="C7" s="311">
        <v>3.2</v>
      </c>
      <c r="D7" s="312"/>
    </row>
    <row r="8" spans="2:22">
      <c r="B8" s="96" t="s">
        <v>102</v>
      </c>
      <c r="C8" s="313">
        <f>C7+0.5</f>
        <v>3.7</v>
      </c>
      <c r="D8" s="314"/>
    </row>
    <row r="9" spans="2:22">
      <c r="B9" s="101" t="s">
        <v>103</v>
      </c>
      <c r="C9" s="44"/>
      <c r="D9" s="45"/>
    </row>
    <row r="10" spans="2:22">
      <c r="M10" s="136"/>
      <c r="N10" s="137"/>
      <c r="O10" s="137"/>
      <c r="P10" s="137"/>
      <c r="Q10" s="137"/>
      <c r="R10" s="137"/>
      <c r="S10" s="137"/>
      <c r="T10" s="137"/>
      <c r="U10" s="137"/>
      <c r="V10" s="137"/>
    </row>
    <row r="12" spans="2:22" ht="18">
      <c r="B12" s="94" t="s">
        <v>75</v>
      </c>
      <c r="C12" s="94" t="s">
        <v>84</v>
      </c>
      <c r="D12" s="94" t="s">
        <v>97</v>
      </c>
      <c r="E12" s="96" t="s">
        <v>86</v>
      </c>
      <c r="F12" s="94" t="s">
        <v>100</v>
      </c>
      <c r="G12" s="94" t="s">
        <v>101</v>
      </c>
      <c r="H12" s="223" t="s">
        <v>67</v>
      </c>
      <c r="I12" s="109" t="s">
        <v>104</v>
      </c>
      <c r="J12" s="110" t="s">
        <v>107</v>
      </c>
    </row>
    <row r="13" spans="2:22">
      <c r="B13" s="95" t="s">
        <v>140</v>
      </c>
      <c r="C13" s="7">
        <f>'Masse e Forze'!G14</f>
        <v>521.56697046546958</v>
      </c>
      <c r="D13" s="7">
        <f t="shared" ref="D13:D18" si="0">C13/$D$4</f>
        <v>37.254783604676398</v>
      </c>
      <c r="E13" s="221">
        <f>0.4*$C$7</f>
        <v>1.2800000000000002</v>
      </c>
      <c r="F13" s="7">
        <f t="shared" ref="F13:F18" si="1">D13*E13</f>
        <v>47.686123013985799</v>
      </c>
      <c r="G13" s="7">
        <f>F13/2</f>
        <v>23.8430615069929</v>
      </c>
      <c r="H13" s="225">
        <v>4.5999999999999996</v>
      </c>
      <c r="I13" s="7">
        <f t="shared" ref="I13:I18" si="2">2*G13/H13</f>
        <v>10.366548481301262</v>
      </c>
      <c r="J13" s="7">
        <f>I13</f>
        <v>10.366548481301262</v>
      </c>
    </row>
    <row r="14" spans="2:22">
      <c r="B14" s="95">
        <v>5</v>
      </c>
      <c r="C14" s="30">
        <f>'Masse e Forze'!G15</f>
        <v>962.01712647219051</v>
      </c>
      <c r="D14" s="30">
        <f t="shared" si="0"/>
        <v>68.715509033727898</v>
      </c>
      <c r="E14" s="1">
        <f>0.5*$C$7</f>
        <v>1.6</v>
      </c>
      <c r="F14" s="30">
        <f t="shared" si="1"/>
        <v>109.94481445396464</v>
      </c>
      <c r="G14" s="30">
        <f>(F13+F14)/2</f>
        <v>78.815468733975223</v>
      </c>
      <c r="H14" s="4">
        <f>H13</f>
        <v>4.5999999999999996</v>
      </c>
      <c r="I14" s="30">
        <f t="shared" si="2"/>
        <v>34.267595101728361</v>
      </c>
      <c r="J14" s="30">
        <f>J13+I14</f>
        <v>44.634143583029626</v>
      </c>
    </row>
    <row r="15" spans="2:22">
      <c r="B15" s="95">
        <v>4</v>
      </c>
      <c r="C15" s="30">
        <f>'Masse e Forze'!G16</f>
        <v>1317.0466461624565</v>
      </c>
      <c r="D15" s="30">
        <f t="shared" si="0"/>
        <v>94.074760440175467</v>
      </c>
      <c r="E15" s="1">
        <f>0.5*$C$7</f>
        <v>1.6</v>
      </c>
      <c r="F15" s="30">
        <f t="shared" si="1"/>
        <v>150.51961670428076</v>
      </c>
      <c r="G15" s="30">
        <f>(F14+F15)/2</f>
        <v>130.23221557912271</v>
      </c>
      <c r="H15" s="4">
        <f>H14</f>
        <v>4.5999999999999996</v>
      </c>
      <c r="I15" s="30">
        <f t="shared" si="2"/>
        <v>56.622702425705533</v>
      </c>
      <c r="J15" s="30">
        <f>J14+I15</f>
        <v>101.25684600873515</v>
      </c>
    </row>
    <row r="16" spans="2:22">
      <c r="B16" s="95">
        <v>3</v>
      </c>
      <c r="C16" s="30">
        <f>'Masse e Forze'!G17</f>
        <v>1586.6555295362675</v>
      </c>
      <c r="D16" s="30">
        <f t="shared" si="0"/>
        <v>113.33253782401911</v>
      </c>
      <c r="E16" s="1">
        <f>0.5*$C$7</f>
        <v>1.6</v>
      </c>
      <c r="F16" s="30">
        <f t="shared" si="1"/>
        <v>181.33206051843058</v>
      </c>
      <c r="G16" s="30">
        <f>(F15+F16)/2</f>
        <v>165.92583861135569</v>
      </c>
      <c r="H16" s="4">
        <f>H15</f>
        <v>4.5999999999999996</v>
      </c>
      <c r="I16" s="30">
        <f t="shared" si="2"/>
        <v>72.141668961459004</v>
      </c>
      <c r="J16" s="30">
        <f>J15+I16</f>
        <v>173.39851497019416</v>
      </c>
    </row>
    <row r="17" spans="2:12">
      <c r="B17" s="95">
        <v>2</v>
      </c>
      <c r="C17" s="30">
        <f>'Masse e Forze'!G18</f>
        <v>1770.8437765936237</v>
      </c>
      <c r="D17" s="30">
        <f t="shared" si="0"/>
        <v>126.48884118525883</v>
      </c>
      <c r="E17" s="1">
        <f>0.5*$C$7</f>
        <v>1.6</v>
      </c>
      <c r="F17" s="30">
        <f t="shared" si="1"/>
        <v>202.38214589641416</v>
      </c>
      <c r="G17" s="30">
        <f>(F16+F17)/2</f>
        <v>191.85710320742237</v>
      </c>
      <c r="H17" s="4">
        <f>H16</f>
        <v>4.5999999999999996</v>
      </c>
      <c r="I17" s="30">
        <f t="shared" si="2"/>
        <v>83.416131829314082</v>
      </c>
      <c r="J17" s="30">
        <f>J16+I17</f>
        <v>256.81464679950824</v>
      </c>
    </row>
    <row r="18" spans="2:12">
      <c r="B18" s="97" t="s">
        <v>141</v>
      </c>
      <c r="C18" s="55">
        <f>'Masse e Forze'!G19</f>
        <v>1854.1929307598962</v>
      </c>
      <c r="D18" s="55">
        <f t="shared" si="0"/>
        <v>132.44235219713545</v>
      </c>
      <c r="E18" s="2">
        <f>C8*0.4</f>
        <v>1.4800000000000002</v>
      </c>
      <c r="F18" s="55">
        <f t="shared" si="1"/>
        <v>196.01468125176049</v>
      </c>
      <c r="G18" s="55">
        <f>(F17+F18)/2</f>
        <v>199.19841357408734</v>
      </c>
      <c r="H18" s="123">
        <f>H17</f>
        <v>4.5999999999999996</v>
      </c>
      <c r="I18" s="55">
        <f t="shared" si="2"/>
        <v>86.608005901777105</v>
      </c>
      <c r="J18" s="55">
        <f>J17+I18</f>
        <v>343.42265270128536</v>
      </c>
    </row>
    <row r="19" spans="2:12">
      <c r="B19" s="95" t="s">
        <v>99</v>
      </c>
      <c r="C19" s="224" t="s">
        <v>27</v>
      </c>
      <c r="D19" s="51" t="s">
        <v>27</v>
      </c>
      <c r="E19" s="222">
        <f>C8*0.6</f>
        <v>2.2200000000000002</v>
      </c>
      <c r="F19" s="86">
        <f>E19*D18</f>
        <v>294.02202187764073</v>
      </c>
      <c r="G19" s="87" t="s">
        <v>27</v>
      </c>
      <c r="H19" s="51" t="s">
        <v>27</v>
      </c>
      <c r="I19" s="51" t="s">
        <v>27</v>
      </c>
      <c r="J19" s="52" t="s">
        <v>27</v>
      </c>
    </row>
    <row r="24" spans="2:12">
      <c r="B24" s="315" t="s">
        <v>108</v>
      </c>
      <c r="C24" s="316"/>
      <c r="D24" s="316"/>
      <c r="E24" s="316"/>
      <c r="F24" s="316"/>
      <c r="G24" s="316"/>
      <c r="H24" s="275"/>
      <c r="I24" s="50"/>
      <c r="J24" s="50"/>
    </row>
    <row r="25" spans="2:12" ht="18">
      <c r="B25" s="101" t="s">
        <v>75</v>
      </c>
      <c r="C25" s="94" t="s">
        <v>84</v>
      </c>
      <c r="D25" s="94" t="s">
        <v>97</v>
      </c>
      <c r="E25" s="270" t="s">
        <v>86</v>
      </c>
      <c r="F25" s="94" t="s">
        <v>100</v>
      </c>
      <c r="G25" s="268" t="s">
        <v>101</v>
      </c>
      <c r="H25" s="276"/>
      <c r="I25" s="12"/>
      <c r="J25" s="49"/>
      <c r="K25" s="12"/>
      <c r="L25" s="43"/>
    </row>
    <row r="26" spans="2:12">
      <c r="B26" s="95" t="s">
        <v>140</v>
      </c>
      <c r="C26" s="7">
        <f t="shared" ref="C26:C31" si="3">C13</f>
        <v>521.56697046546958</v>
      </c>
      <c r="D26" s="83">
        <f t="shared" ref="D26:D31" si="4">1.2*D13</f>
        <v>44.705740325611679</v>
      </c>
      <c r="E26" s="269">
        <f t="shared" ref="E26:E32" si="5">E13</f>
        <v>1.2800000000000002</v>
      </c>
      <c r="F26" s="7">
        <f>1.2*F13</f>
        <v>57.223347616782959</v>
      </c>
      <c r="G26" s="83">
        <f>1.2*G13</f>
        <v>28.61167380839148</v>
      </c>
      <c r="H26" s="169"/>
      <c r="I26" s="53"/>
      <c r="J26" s="53"/>
      <c r="K26" s="53"/>
      <c r="L26" s="49"/>
    </row>
    <row r="27" spans="2:12">
      <c r="B27" s="95">
        <v>5</v>
      </c>
      <c r="C27" s="30">
        <f t="shared" si="3"/>
        <v>962.01712647219051</v>
      </c>
      <c r="D27" s="83">
        <f t="shared" si="4"/>
        <v>82.458610840473469</v>
      </c>
      <c r="E27" s="1">
        <f t="shared" si="5"/>
        <v>1.6</v>
      </c>
      <c r="F27" s="30">
        <f t="shared" ref="F27:G32" si="6">1.2*F14</f>
        <v>131.93377734475757</v>
      </c>
      <c r="G27" s="83">
        <f t="shared" si="6"/>
        <v>94.578562480770259</v>
      </c>
      <c r="H27" s="169"/>
      <c r="I27" s="53"/>
      <c r="J27" s="53"/>
      <c r="K27" s="53"/>
    </row>
    <row r="28" spans="2:12">
      <c r="B28" s="95">
        <v>4</v>
      </c>
      <c r="C28" s="30">
        <f t="shared" si="3"/>
        <v>1317.0466461624565</v>
      </c>
      <c r="D28" s="83">
        <f t="shared" si="4"/>
        <v>112.88971252821055</v>
      </c>
      <c r="E28" s="1">
        <f t="shared" si="5"/>
        <v>1.6</v>
      </c>
      <c r="F28" s="30">
        <f t="shared" si="6"/>
        <v>180.62354004513691</v>
      </c>
      <c r="G28" s="83">
        <f t="shared" si="6"/>
        <v>156.27865869494724</v>
      </c>
      <c r="H28" s="169"/>
      <c r="I28" s="53"/>
      <c r="J28" s="53"/>
      <c r="K28" s="53"/>
    </row>
    <row r="29" spans="2:12">
      <c r="B29" s="95">
        <v>3</v>
      </c>
      <c r="C29" s="30">
        <f t="shared" si="3"/>
        <v>1586.6555295362675</v>
      </c>
      <c r="D29" s="83">
        <f t="shared" si="4"/>
        <v>135.99904538882294</v>
      </c>
      <c r="E29" s="1">
        <f t="shared" si="5"/>
        <v>1.6</v>
      </c>
      <c r="F29" s="30">
        <f t="shared" si="6"/>
        <v>217.5984726221167</v>
      </c>
      <c r="G29" s="83">
        <f t="shared" si="6"/>
        <v>199.11100633362682</v>
      </c>
      <c r="H29" s="169"/>
      <c r="I29" s="53"/>
      <c r="J29" s="53"/>
      <c r="K29" s="53"/>
    </row>
    <row r="30" spans="2:12">
      <c r="B30" s="95">
        <v>2</v>
      </c>
      <c r="C30" s="30">
        <f t="shared" si="3"/>
        <v>1770.8437765936237</v>
      </c>
      <c r="D30" s="83">
        <f t="shared" si="4"/>
        <v>151.78660942231059</v>
      </c>
      <c r="E30" s="1">
        <f t="shared" si="5"/>
        <v>1.6</v>
      </c>
      <c r="F30" s="30">
        <f t="shared" si="6"/>
        <v>242.85857507569699</v>
      </c>
      <c r="G30" s="83">
        <f t="shared" si="6"/>
        <v>230.22852384890683</v>
      </c>
      <c r="H30" s="169"/>
      <c r="I30" s="53"/>
      <c r="J30" s="53"/>
      <c r="K30" s="53"/>
    </row>
    <row r="31" spans="2:12">
      <c r="B31" s="97" t="s">
        <v>141</v>
      </c>
      <c r="C31" s="30">
        <f t="shared" si="3"/>
        <v>1854.1929307598962</v>
      </c>
      <c r="D31" s="83">
        <f t="shared" si="4"/>
        <v>158.93082263656254</v>
      </c>
      <c r="E31" s="1">
        <f t="shared" si="5"/>
        <v>1.4800000000000002</v>
      </c>
      <c r="F31" s="55">
        <f t="shared" si="6"/>
        <v>235.21761750211257</v>
      </c>
      <c r="G31" s="83">
        <f t="shared" si="6"/>
        <v>239.0380962889048</v>
      </c>
      <c r="H31" s="169"/>
      <c r="I31" s="53"/>
      <c r="J31" s="53"/>
      <c r="K31" s="53"/>
    </row>
    <row r="32" spans="2:12">
      <c r="B32" s="95" t="s">
        <v>99</v>
      </c>
      <c r="C32" s="6" t="s">
        <v>27</v>
      </c>
      <c r="D32" s="51" t="s">
        <v>27</v>
      </c>
      <c r="E32" s="267">
        <f t="shared" si="5"/>
        <v>2.2200000000000002</v>
      </c>
      <c r="F32" s="86">
        <f t="shared" si="6"/>
        <v>352.82642625316885</v>
      </c>
      <c r="G32" s="51" t="s">
        <v>27</v>
      </c>
      <c r="H32" s="169"/>
      <c r="I32" s="53"/>
      <c r="J32" s="11"/>
    </row>
    <row r="36" spans="2:10">
      <c r="B36" s="308" t="s">
        <v>110</v>
      </c>
      <c r="C36" s="309"/>
      <c r="D36" s="309"/>
      <c r="E36" s="309"/>
      <c r="F36" s="309"/>
      <c r="G36" s="310"/>
    </row>
    <row r="37" spans="2:10" ht="18">
      <c r="B37" s="101" t="s">
        <v>75</v>
      </c>
      <c r="C37" s="104" t="s">
        <v>84</v>
      </c>
      <c r="D37" s="273" t="s">
        <v>97</v>
      </c>
      <c r="E37" s="109" t="s">
        <v>109</v>
      </c>
      <c r="F37" s="96" t="s">
        <v>100</v>
      </c>
      <c r="G37" s="96" t="s">
        <v>101</v>
      </c>
    </row>
    <row r="38" spans="2:10">
      <c r="B38" s="111" t="s">
        <v>140</v>
      </c>
      <c r="C38" s="23">
        <f t="shared" ref="C38:D43" si="7">C26</f>
        <v>521.56697046546958</v>
      </c>
      <c r="D38" s="7">
        <f>D26</f>
        <v>44.705740325611679</v>
      </c>
      <c r="E38" s="274">
        <v>1.5</v>
      </c>
      <c r="F38" s="23">
        <f>F26*E38</f>
        <v>85.835021425174432</v>
      </c>
      <c r="G38" s="7">
        <f>G26</f>
        <v>28.61167380839148</v>
      </c>
    </row>
    <row r="39" spans="2:10">
      <c r="B39" s="112">
        <v>5</v>
      </c>
      <c r="C39" s="24">
        <f t="shared" si="7"/>
        <v>962.01712647219051</v>
      </c>
      <c r="D39" s="30">
        <f t="shared" si="7"/>
        <v>82.458610840473469</v>
      </c>
      <c r="E39" s="82">
        <v>1.5</v>
      </c>
      <c r="F39" s="24">
        <f t="shared" ref="F39:F43" si="8">F27*E39</f>
        <v>197.90066601713636</v>
      </c>
      <c r="G39" s="30">
        <f t="shared" ref="G39:G43" si="9">G27</f>
        <v>94.578562480770259</v>
      </c>
    </row>
    <row r="40" spans="2:10">
      <c r="B40" s="112">
        <v>4</v>
      </c>
      <c r="C40" s="24">
        <f t="shared" si="7"/>
        <v>1317.0466461624565</v>
      </c>
      <c r="D40" s="30">
        <f t="shared" si="7"/>
        <v>112.88971252821055</v>
      </c>
      <c r="E40" s="82">
        <v>1.5</v>
      </c>
      <c r="F40" s="24">
        <f t="shared" si="8"/>
        <v>270.93531006770536</v>
      </c>
      <c r="G40" s="30">
        <f t="shared" si="9"/>
        <v>156.27865869494724</v>
      </c>
    </row>
    <row r="41" spans="2:10">
      <c r="B41" s="112">
        <v>3</v>
      </c>
      <c r="C41" s="24">
        <f t="shared" si="7"/>
        <v>1586.6555295362675</v>
      </c>
      <c r="D41" s="30">
        <f t="shared" si="7"/>
        <v>135.99904538882294</v>
      </c>
      <c r="E41" s="82">
        <v>1.5</v>
      </c>
      <c r="F41" s="24">
        <f t="shared" si="8"/>
        <v>326.39770893317507</v>
      </c>
      <c r="G41" s="30">
        <f t="shared" si="9"/>
        <v>199.11100633362682</v>
      </c>
    </row>
    <row r="42" spans="2:10">
      <c r="B42" s="112">
        <v>2</v>
      </c>
      <c r="C42" s="24">
        <f t="shared" si="7"/>
        <v>1770.8437765936237</v>
      </c>
      <c r="D42" s="30">
        <f t="shared" si="7"/>
        <v>151.78660942231059</v>
      </c>
      <c r="E42" s="82">
        <v>1.5</v>
      </c>
      <c r="F42" s="24">
        <f t="shared" si="8"/>
        <v>364.28786261354549</v>
      </c>
      <c r="G42" s="30">
        <f t="shared" si="9"/>
        <v>230.22852384890683</v>
      </c>
    </row>
    <row r="43" spans="2:10">
      <c r="B43" s="113">
        <v>1</v>
      </c>
      <c r="C43" s="272">
        <f t="shared" si="7"/>
        <v>1854.1929307598962</v>
      </c>
      <c r="D43" s="55">
        <f t="shared" si="7"/>
        <v>158.93082263656254</v>
      </c>
      <c r="E43" s="60">
        <v>1.5</v>
      </c>
      <c r="F43" s="272">
        <f t="shared" si="8"/>
        <v>352.82642625316885</v>
      </c>
      <c r="G43" s="55">
        <f t="shared" si="9"/>
        <v>239.0380962889048</v>
      </c>
    </row>
    <row r="44" spans="2:10">
      <c r="B44" s="112" t="s">
        <v>99</v>
      </c>
      <c r="C44" s="6" t="s">
        <v>27</v>
      </c>
      <c r="D44" s="60" t="s">
        <v>27</v>
      </c>
      <c r="E44" s="271">
        <v>1</v>
      </c>
      <c r="F44" s="86">
        <f>F32*E44</f>
        <v>352.82642625316885</v>
      </c>
      <c r="G44" s="29" t="s">
        <v>27</v>
      </c>
    </row>
    <row r="45" spans="2:10">
      <c r="B45" s="11"/>
      <c r="C45" s="135"/>
      <c r="D45" s="135"/>
      <c r="E45" s="11"/>
      <c r="F45" s="135"/>
      <c r="G45" s="135"/>
      <c r="H45" s="12"/>
      <c r="I45" s="12"/>
      <c r="J45" s="12"/>
    </row>
    <row r="46" spans="2:10">
      <c r="B46" s="11"/>
      <c r="C46" s="11"/>
      <c r="D46" s="11"/>
      <c r="E46" s="11"/>
      <c r="F46" s="135"/>
      <c r="G46" s="11"/>
      <c r="H46" s="12"/>
    </row>
    <row r="47" spans="2:10">
      <c r="B47" s="12"/>
      <c r="C47" s="12"/>
      <c r="D47" s="12"/>
      <c r="E47" s="12"/>
      <c r="F47" s="12"/>
      <c r="G47" s="12"/>
      <c r="H47" s="12"/>
    </row>
  </sheetData>
  <mergeCells count="4">
    <mergeCell ref="B36:G36"/>
    <mergeCell ref="C7:D7"/>
    <mergeCell ref="C8:D8"/>
    <mergeCell ref="B24:G24"/>
  </mergeCells>
  <pageMargins left="0.7" right="0.7" top="0.75" bottom="0.75" header="0.3" footer="0.3"/>
  <pageSetup paperSize="9" orientation="portrait" horizontalDpi="0" verticalDpi="0" r:id="rId1"/>
  <ignoredErrors>
    <ignoredError sqref="D26:D31 E26:E3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Q43"/>
  <sheetViews>
    <sheetView workbookViewId="0">
      <selection activeCell="A23" sqref="A23"/>
    </sheetView>
  </sheetViews>
  <sheetFormatPr defaultRowHeight="15"/>
  <cols>
    <col min="2" max="2" width="23.5703125" customWidth="1"/>
    <col min="3" max="3" width="15.7109375" customWidth="1"/>
    <col min="4" max="4" width="29.140625" customWidth="1"/>
    <col min="5" max="5" width="25.7109375" customWidth="1"/>
    <col min="6" max="6" width="15.28515625" customWidth="1"/>
    <col min="7" max="7" width="12.28515625" customWidth="1"/>
    <col min="8" max="8" width="13.5703125" customWidth="1"/>
    <col min="9" max="9" width="18.140625" customWidth="1"/>
    <col min="10" max="10" width="14.85546875" customWidth="1"/>
    <col min="14" max="14" width="13.140625" customWidth="1"/>
  </cols>
  <sheetData>
    <row r="2" spans="2:17" ht="18.75">
      <c r="B2" s="252" t="s">
        <v>115</v>
      </c>
      <c r="C2" s="317" t="s">
        <v>197</v>
      </c>
      <c r="D2" s="318"/>
      <c r="E2" s="319"/>
      <c r="G2" s="250" t="s">
        <v>114</v>
      </c>
      <c r="H2" s="251"/>
      <c r="I2" s="251"/>
      <c r="J2" s="251"/>
      <c r="K2" s="251"/>
      <c r="L2" s="251"/>
      <c r="M2" s="232"/>
    </row>
    <row r="3" spans="2:17" ht="18">
      <c r="B3" s="190" t="s">
        <v>75</v>
      </c>
      <c r="C3" s="197" t="s">
        <v>101</v>
      </c>
      <c r="D3" s="197" t="s">
        <v>112</v>
      </c>
      <c r="E3" s="248" t="s">
        <v>113</v>
      </c>
      <c r="G3" s="190" t="s">
        <v>75</v>
      </c>
      <c r="H3" s="248" t="s">
        <v>113</v>
      </c>
      <c r="I3" s="190" t="s">
        <v>86</v>
      </c>
      <c r="J3" s="248" t="s">
        <v>74</v>
      </c>
      <c r="K3" s="190" t="s">
        <v>66</v>
      </c>
      <c r="L3" s="190" t="s">
        <v>87</v>
      </c>
      <c r="M3" s="190" t="s">
        <v>11</v>
      </c>
    </row>
    <row r="4" spans="2:17">
      <c r="B4" s="249" t="s">
        <v>140</v>
      </c>
      <c r="C4" s="7">
        <f>'C. Sollecitazione'!K26</f>
        <v>0</v>
      </c>
      <c r="D4" s="7">
        <f>'[2]Carichi Unitari'!Q61</f>
        <v>67.719405999999978</v>
      </c>
      <c r="E4" s="7">
        <f t="shared" ref="E4:E9" si="0">C4+D4</f>
        <v>67.719405999999978</v>
      </c>
      <c r="G4" s="249" t="s">
        <v>140</v>
      </c>
      <c r="H4" s="247">
        <f t="shared" ref="H4:H9" si="1">E4</f>
        <v>67.719405999999978</v>
      </c>
      <c r="I4" s="117">
        <v>0.3</v>
      </c>
      <c r="J4" s="116">
        <v>0.04</v>
      </c>
      <c r="K4" s="118">
        <v>1.7999999999999999E-2</v>
      </c>
      <c r="L4" s="247">
        <f t="shared" ref="L4:L9" si="2">K4*SQRT(H4/I4)</f>
        <v>0.27043845599322586</v>
      </c>
      <c r="M4" s="114">
        <f t="shared" ref="M4:M9" si="3">L4+J4</f>
        <v>0.31043845599322584</v>
      </c>
      <c r="Q4" s="124" t="s">
        <v>184</v>
      </c>
    </row>
    <row r="5" spans="2:17">
      <c r="B5" s="249">
        <v>5</v>
      </c>
      <c r="C5" s="30">
        <f>'C. Sollecitazione'!K27</f>
        <v>0</v>
      </c>
      <c r="D5" s="30">
        <f>D4</f>
        <v>67.719405999999978</v>
      </c>
      <c r="E5" s="30">
        <f t="shared" si="0"/>
        <v>67.719405999999978</v>
      </c>
      <c r="G5" s="249">
        <v>5</v>
      </c>
      <c r="H5" s="56">
        <f t="shared" si="1"/>
        <v>67.719405999999978</v>
      </c>
      <c r="I5" s="3">
        <v>0.3</v>
      </c>
      <c r="J5" s="1">
        <v>0.04</v>
      </c>
      <c r="K5" s="4">
        <v>1.7999999999999999E-2</v>
      </c>
      <c r="L5" s="56">
        <f t="shared" si="2"/>
        <v>0.27043845599322586</v>
      </c>
      <c r="M5" s="115">
        <f t="shared" si="3"/>
        <v>0.31043845599322584</v>
      </c>
    </row>
    <row r="6" spans="2:17">
      <c r="B6" s="249">
        <v>4</v>
      </c>
      <c r="C6" s="30">
        <f>'C. Sollecitazione'!K28</f>
        <v>0</v>
      </c>
      <c r="D6" s="30">
        <f>D4</f>
        <v>67.719405999999978</v>
      </c>
      <c r="E6" s="30">
        <f t="shared" si="0"/>
        <v>67.719405999999978</v>
      </c>
      <c r="G6" s="249">
        <v>4</v>
      </c>
      <c r="H6" s="56">
        <f t="shared" si="1"/>
        <v>67.719405999999978</v>
      </c>
      <c r="I6" s="3">
        <v>0.3</v>
      </c>
      <c r="J6" s="1">
        <v>0.04</v>
      </c>
      <c r="K6" s="4">
        <v>1.7999999999999999E-2</v>
      </c>
      <c r="L6" s="56">
        <f t="shared" si="2"/>
        <v>0.27043845599322586</v>
      </c>
      <c r="M6" s="245">
        <f t="shared" si="3"/>
        <v>0.31043845599322584</v>
      </c>
    </row>
    <row r="7" spans="2:17">
      <c r="B7" s="249">
        <v>3</v>
      </c>
      <c r="C7" s="30">
        <f>'C. Sollecitazione'!K29</f>
        <v>0</v>
      </c>
      <c r="D7" s="30">
        <f>D4</f>
        <v>67.719405999999978</v>
      </c>
      <c r="E7" s="30">
        <f t="shared" si="0"/>
        <v>67.719405999999978</v>
      </c>
      <c r="G7" s="249">
        <v>3</v>
      </c>
      <c r="H7" s="56">
        <f t="shared" si="1"/>
        <v>67.719405999999978</v>
      </c>
      <c r="I7" s="3">
        <v>0.3</v>
      </c>
      <c r="J7" s="1">
        <v>0.04</v>
      </c>
      <c r="K7" s="4">
        <v>1.7999999999999999E-2</v>
      </c>
      <c r="L7" s="56">
        <f t="shared" si="2"/>
        <v>0.27043845599322586</v>
      </c>
      <c r="M7" s="245">
        <f t="shared" si="3"/>
        <v>0.31043845599322584</v>
      </c>
      <c r="Q7" s="125" t="s">
        <v>85</v>
      </c>
    </row>
    <row r="8" spans="2:17">
      <c r="B8" s="249">
        <v>2</v>
      </c>
      <c r="C8" s="30">
        <f>'C. Sollecitazione'!K30</f>
        <v>0</v>
      </c>
      <c r="D8" s="30">
        <f>D4</f>
        <v>67.719405999999978</v>
      </c>
      <c r="E8" s="30">
        <f t="shared" si="0"/>
        <v>67.719405999999978</v>
      </c>
      <c r="G8" s="249">
        <v>2</v>
      </c>
      <c r="H8" s="56">
        <f t="shared" si="1"/>
        <v>67.719405999999978</v>
      </c>
      <c r="I8" s="3">
        <v>0.3</v>
      </c>
      <c r="J8" s="1">
        <v>0.04</v>
      </c>
      <c r="K8" s="4">
        <v>1.7999999999999999E-2</v>
      </c>
      <c r="L8" s="56">
        <f t="shared" si="2"/>
        <v>0.27043845599322586</v>
      </c>
      <c r="M8" s="245">
        <f t="shared" si="3"/>
        <v>0.31043845599322584</v>
      </c>
    </row>
    <row r="9" spans="2:17">
      <c r="B9" s="259">
        <v>1</v>
      </c>
      <c r="C9" s="30">
        <f>'C. Sollecitazione'!K31</f>
        <v>0</v>
      </c>
      <c r="D9" s="30">
        <f>D4</f>
        <v>67.719405999999978</v>
      </c>
      <c r="E9" s="30">
        <f t="shared" si="0"/>
        <v>67.719405999999978</v>
      </c>
      <c r="G9" s="249">
        <v>1</v>
      </c>
      <c r="H9" s="220">
        <f t="shared" si="1"/>
        <v>67.719405999999978</v>
      </c>
      <c r="I9" s="122">
        <v>0.3</v>
      </c>
      <c r="J9" s="2">
        <v>0.04</v>
      </c>
      <c r="K9" s="123">
        <v>1.7999999999999999E-2</v>
      </c>
      <c r="L9" s="220">
        <f t="shared" si="2"/>
        <v>0.27043845599322586</v>
      </c>
      <c r="M9" s="246">
        <f t="shared" si="3"/>
        <v>0.31043845599322584</v>
      </c>
    </row>
    <row r="10" spans="2:17">
      <c r="B10" s="249" t="s">
        <v>99</v>
      </c>
      <c r="C10" s="2" t="s">
        <v>27</v>
      </c>
      <c r="D10" s="2" t="s">
        <v>27</v>
      </c>
      <c r="E10" s="2" t="s">
        <v>27</v>
      </c>
      <c r="I10" s="88"/>
    </row>
    <row r="13" spans="2:17" ht="18.75">
      <c r="B13" s="253" t="s">
        <v>115</v>
      </c>
      <c r="C13" s="317" t="s">
        <v>174</v>
      </c>
      <c r="D13" s="318"/>
      <c r="E13" s="318"/>
      <c r="F13" s="229"/>
      <c r="G13" s="229"/>
      <c r="H13" s="232"/>
    </row>
    <row r="14" spans="2:17" ht="18">
      <c r="B14" s="248" t="s">
        <v>75</v>
      </c>
      <c r="C14" s="263" t="s">
        <v>100</v>
      </c>
      <c r="D14" s="320" t="s">
        <v>135</v>
      </c>
      <c r="E14" s="321"/>
      <c r="F14" s="264" t="s">
        <v>107</v>
      </c>
      <c r="G14" s="322" t="s">
        <v>142</v>
      </c>
      <c r="H14" s="322"/>
    </row>
    <row r="15" spans="2:17">
      <c r="B15" s="260"/>
      <c r="C15" s="89"/>
      <c r="D15" s="89" t="s">
        <v>137</v>
      </c>
      <c r="E15" s="89" t="s">
        <v>138</v>
      </c>
      <c r="F15" s="5"/>
      <c r="G15" s="90" t="s">
        <v>137</v>
      </c>
      <c r="H15" s="89" t="s">
        <v>138</v>
      </c>
    </row>
    <row r="16" spans="2:17">
      <c r="B16" s="261" t="s">
        <v>140</v>
      </c>
      <c r="C16" s="7">
        <f>'C. Sollecitazione'!F38</f>
        <v>85.835021425174432</v>
      </c>
      <c r="D16" s="7">
        <f>'Carichi Unitari'!L107</f>
        <v>88.306249999999991</v>
      </c>
      <c r="E16" s="7">
        <f>'Carichi Unitari'!L95</f>
        <v>121.96325</v>
      </c>
      <c r="F16" s="30">
        <f>'C. Sollecitazione'!J13</f>
        <v>10.366548481301262</v>
      </c>
      <c r="G16" s="7">
        <f t="shared" ref="G16:G21" si="4">D16-F16</f>
        <v>77.939701518698726</v>
      </c>
      <c r="H16" s="7">
        <f t="shared" ref="H16:H21" si="5">E16+F16</f>
        <v>132.32979848130125</v>
      </c>
    </row>
    <row r="17" spans="2:8">
      <c r="B17" s="261">
        <v>5</v>
      </c>
      <c r="C17" s="30">
        <f>'C. Sollecitazione'!F39</f>
        <v>197.90066601713636</v>
      </c>
      <c r="D17" s="30">
        <f>2*D16</f>
        <v>176.61249999999998</v>
      </c>
      <c r="E17" s="30">
        <f>E16*2</f>
        <v>243.9265</v>
      </c>
      <c r="F17" s="30">
        <f>'C. Sollecitazione'!J14</f>
        <v>44.634143583029626</v>
      </c>
      <c r="G17" s="30">
        <f t="shared" si="4"/>
        <v>131.97835641697037</v>
      </c>
      <c r="H17" s="30">
        <f t="shared" si="5"/>
        <v>288.56064358302962</v>
      </c>
    </row>
    <row r="18" spans="2:8">
      <c r="B18" s="249">
        <v>4</v>
      </c>
      <c r="C18" s="30">
        <f>'C. Sollecitazione'!F40</f>
        <v>270.93531006770536</v>
      </c>
      <c r="D18" s="30">
        <f>3*D16</f>
        <v>264.91874999999999</v>
      </c>
      <c r="E18" s="30">
        <f>E16*3</f>
        <v>365.88974999999999</v>
      </c>
      <c r="F18" s="30">
        <f>'C. Sollecitazione'!J15</f>
        <v>101.25684600873515</v>
      </c>
      <c r="G18" s="30">
        <f t="shared" si="4"/>
        <v>163.66190399126484</v>
      </c>
      <c r="H18" s="30">
        <f t="shared" si="5"/>
        <v>467.14659600873517</v>
      </c>
    </row>
    <row r="19" spans="2:8" ht="15.75" thickBot="1">
      <c r="B19" s="249">
        <v>3</v>
      </c>
      <c r="C19" s="30">
        <f>'C. Sollecitazione'!F41</f>
        <v>326.39770893317507</v>
      </c>
      <c r="D19" s="30">
        <f>4*D16</f>
        <v>353.22499999999997</v>
      </c>
      <c r="E19" s="30">
        <f>E16*4</f>
        <v>487.85300000000001</v>
      </c>
      <c r="F19" s="30">
        <f>'C. Sollecitazione'!J16</f>
        <v>173.39851497019416</v>
      </c>
      <c r="G19" s="30">
        <f t="shared" si="4"/>
        <v>179.82648502980581</v>
      </c>
      <c r="H19" s="30">
        <f t="shared" si="5"/>
        <v>661.25151497019419</v>
      </c>
    </row>
    <row r="20" spans="2:8" ht="15.75" thickBot="1">
      <c r="B20" s="262">
        <v>2</v>
      </c>
      <c r="C20" s="91">
        <f>'C. Sollecitazione'!F42</f>
        <v>364.28786261354549</v>
      </c>
      <c r="D20" s="79">
        <f>5*D16</f>
        <v>441.53124999999994</v>
      </c>
      <c r="E20" s="30">
        <f>E16*5</f>
        <v>609.81624999999997</v>
      </c>
      <c r="F20" s="24">
        <f>'C. Sollecitazione'!J17</f>
        <v>256.81464679950824</v>
      </c>
      <c r="G20" s="91">
        <f t="shared" si="4"/>
        <v>184.7166032004917</v>
      </c>
      <c r="H20" s="79">
        <f t="shared" si="5"/>
        <v>866.63089679950826</v>
      </c>
    </row>
    <row r="21" spans="2:8" ht="15.75" thickBot="1">
      <c r="B21" s="262" t="s">
        <v>141</v>
      </c>
      <c r="C21" s="255">
        <f>'C. Sollecitazione'!F43</f>
        <v>352.82642625316885</v>
      </c>
      <c r="D21" s="78">
        <f>6*D16</f>
        <v>529.83749999999998</v>
      </c>
      <c r="E21" s="55">
        <f>E16*6</f>
        <v>731.77949999999998</v>
      </c>
      <c r="F21" s="79">
        <f>'C. Sollecitazione'!J18</f>
        <v>343.42265270128536</v>
      </c>
      <c r="G21" s="24">
        <f t="shared" si="4"/>
        <v>186.41484729871462</v>
      </c>
      <c r="H21" s="256">
        <f t="shared" si="5"/>
        <v>1075.2021527012853</v>
      </c>
    </row>
    <row r="22" spans="2:8" ht="15.75" thickBot="1">
      <c r="B22" s="262" t="s">
        <v>99</v>
      </c>
      <c r="C22" s="255">
        <f>'C. Sollecitazione'!F44</f>
        <v>352.82642625316885</v>
      </c>
      <c r="D22" s="81" t="s">
        <v>27</v>
      </c>
      <c r="E22" s="2" t="s">
        <v>27</v>
      </c>
      <c r="F22" s="81" t="s">
        <v>27</v>
      </c>
      <c r="G22" s="15" t="s">
        <v>27</v>
      </c>
      <c r="H22" s="21" t="s">
        <v>27</v>
      </c>
    </row>
    <row r="24" spans="2:8" ht="15.75" thickBot="1"/>
    <row r="25" spans="2:8" ht="15.75" thickBot="1">
      <c r="B25" s="254" t="s">
        <v>143</v>
      </c>
      <c r="C25" s="265" t="s">
        <v>69</v>
      </c>
      <c r="D25" s="266" t="s">
        <v>144</v>
      </c>
    </row>
    <row r="26" spans="2:8" ht="18">
      <c r="B26" s="249" t="s">
        <v>145</v>
      </c>
      <c r="C26" s="57">
        <f>C20</f>
        <v>364.28786261354549</v>
      </c>
      <c r="D26" s="57">
        <f>G20</f>
        <v>184.7166032004917</v>
      </c>
    </row>
    <row r="27" spans="2:8" ht="18">
      <c r="B27" s="249" t="s">
        <v>146</v>
      </c>
      <c r="C27" s="257">
        <f>C21</f>
        <v>352.82642625316885</v>
      </c>
      <c r="D27" s="258">
        <f>H21</f>
        <v>1075.2021527012853</v>
      </c>
    </row>
    <row r="43" spans="2:5">
      <c r="B43" s="138"/>
      <c r="C43" s="12"/>
      <c r="D43" s="12"/>
      <c r="E43" s="12"/>
    </row>
  </sheetData>
  <mergeCells count="4">
    <mergeCell ref="C2:E2"/>
    <mergeCell ref="C13:E13"/>
    <mergeCell ref="D14:E14"/>
    <mergeCell ref="G14:H1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09"/>
  <sheetViews>
    <sheetView zoomScale="90" zoomScaleNormal="90" workbookViewId="0">
      <selection activeCell="K84" sqref="K84"/>
    </sheetView>
  </sheetViews>
  <sheetFormatPr defaultRowHeight="15"/>
  <cols>
    <col min="2" max="2" width="12.85546875" customWidth="1"/>
    <col min="3" max="3" width="17.85546875" customWidth="1"/>
    <col min="4" max="4" width="21" customWidth="1"/>
    <col min="5" max="5" width="14.7109375" customWidth="1"/>
    <col min="7" max="7" width="14.7109375" customWidth="1"/>
    <col min="10" max="10" width="12.85546875" customWidth="1"/>
    <col min="11" max="11" width="14.42578125" customWidth="1"/>
    <col min="12" max="12" width="18.85546875" customWidth="1"/>
    <col min="13" max="13" width="11.7109375" customWidth="1"/>
    <col min="15" max="15" width="16.28515625" customWidth="1"/>
  </cols>
  <sheetData>
    <row r="1" spans="1:21">
      <c r="A1" s="92" t="s">
        <v>173</v>
      </c>
    </row>
    <row r="2" spans="1:21">
      <c r="A2" s="92"/>
    </row>
    <row r="3" spans="1:21" ht="18.75">
      <c r="A3" s="133"/>
      <c r="B3" s="132" t="s">
        <v>94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</row>
    <row r="5" spans="1:21">
      <c r="B5" s="129" t="s">
        <v>147</v>
      </c>
      <c r="C5" s="102">
        <v>6</v>
      </c>
      <c r="D5" s="130"/>
      <c r="E5" s="130"/>
      <c r="F5" s="130"/>
      <c r="G5" s="130"/>
      <c r="J5" s="129" t="s">
        <v>147</v>
      </c>
      <c r="K5" s="102">
        <v>5</v>
      </c>
      <c r="L5" s="130"/>
      <c r="M5" s="130"/>
      <c r="N5" s="130"/>
      <c r="O5" s="130"/>
    </row>
    <row r="7" spans="1:21" ht="15.75" thickBot="1">
      <c r="B7" s="84" t="s">
        <v>174</v>
      </c>
      <c r="C7" s="84" t="s">
        <v>175</v>
      </c>
      <c r="D7" s="84" t="s">
        <v>183</v>
      </c>
      <c r="E7" s="84" t="s">
        <v>181</v>
      </c>
      <c r="F7" s="84" t="s">
        <v>180</v>
      </c>
      <c r="G7" s="84" t="s">
        <v>207</v>
      </c>
      <c r="J7" s="84" t="s">
        <v>174</v>
      </c>
      <c r="K7" s="84" t="s">
        <v>175</v>
      </c>
      <c r="L7" s="84" t="s">
        <v>183</v>
      </c>
      <c r="M7" s="84" t="s">
        <v>181</v>
      </c>
      <c r="N7" s="84" t="s">
        <v>180</v>
      </c>
      <c r="O7" s="84" t="s">
        <v>207</v>
      </c>
    </row>
    <row r="8" spans="1:21" ht="15.75" thickBot="1">
      <c r="B8" s="84">
        <v>6</v>
      </c>
      <c r="C8" s="84" t="s">
        <v>191</v>
      </c>
      <c r="D8" s="84" t="s">
        <v>176</v>
      </c>
      <c r="E8" s="72">
        <v>26.326962104424197</v>
      </c>
      <c r="F8" s="84">
        <v>2</v>
      </c>
      <c r="G8" s="83">
        <v>52.653924208848395</v>
      </c>
      <c r="J8" s="84">
        <v>6</v>
      </c>
      <c r="K8" s="84" t="s">
        <v>191</v>
      </c>
      <c r="L8" s="84" t="s">
        <v>176</v>
      </c>
      <c r="M8" s="72">
        <v>31.793132531486194</v>
      </c>
      <c r="N8" s="84">
        <v>2</v>
      </c>
      <c r="O8" s="83">
        <v>63.586265062972387</v>
      </c>
    </row>
    <row r="9" spans="1:21">
      <c r="B9" s="84" t="s">
        <v>177</v>
      </c>
      <c r="C9" s="84" t="s">
        <v>191</v>
      </c>
      <c r="D9" s="84" t="s">
        <v>176</v>
      </c>
      <c r="E9" s="83">
        <v>23.240557688334988</v>
      </c>
      <c r="F9" s="84">
        <v>6</v>
      </c>
      <c r="G9" s="83">
        <v>139.44334613000993</v>
      </c>
      <c r="J9" s="84" t="s">
        <v>177</v>
      </c>
      <c r="K9" s="84" t="s">
        <v>191</v>
      </c>
      <c r="L9" s="84" t="s">
        <v>176</v>
      </c>
      <c r="M9" s="83">
        <v>28.376806783960017</v>
      </c>
      <c r="N9" s="84">
        <v>6</v>
      </c>
      <c r="O9" s="83">
        <v>170.2608407037601</v>
      </c>
    </row>
    <row r="10" spans="1:21">
      <c r="B10" s="84">
        <v>21</v>
      </c>
      <c r="C10" s="84" t="s">
        <v>191</v>
      </c>
      <c r="D10" s="84" t="s">
        <v>182</v>
      </c>
      <c r="E10" s="83">
        <v>24.189495305256873</v>
      </c>
      <c r="F10" s="84">
        <v>2</v>
      </c>
      <c r="G10" s="83">
        <v>48.378990610513746</v>
      </c>
      <c r="J10" s="84">
        <v>21</v>
      </c>
      <c r="K10" s="84" t="s">
        <v>191</v>
      </c>
      <c r="L10" s="84" t="s">
        <v>176</v>
      </c>
      <c r="M10" s="83">
        <v>29.433975324499407</v>
      </c>
      <c r="N10" s="84">
        <v>2</v>
      </c>
      <c r="O10" s="83">
        <v>58.867950648998814</v>
      </c>
    </row>
    <row r="11" spans="1:21">
      <c r="B11" s="84">
        <v>30</v>
      </c>
      <c r="C11" s="84" t="s">
        <v>191</v>
      </c>
      <c r="D11" s="84" t="s">
        <v>176</v>
      </c>
      <c r="E11" s="83">
        <v>20.073805964045754</v>
      </c>
      <c r="F11" s="84">
        <v>2</v>
      </c>
      <c r="G11" s="83">
        <v>40.147611928091507</v>
      </c>
      <c r="J11" s="84">
        <v>30</v>
      </c>
      <c r="K11" s="84" t="s">
        <v>191</v>
      </c>
      <c r="L11" s="84" t="s">
        <v>182</v>
      </c>
      <c r="M11" s="83">
        <v>24.803062710960912</v>
      </c>
      <c r="N11" s="84">
        <v>2</v>
      </c>
      <c r="O11" s="83">
        <v>49.606125421921824</v>
      </c>
    </row>
    <row r="12" spans="1:21">
      <c r="G12" s="84">
        <v>0</v>
      </c>
      <c r="M12" s="84"/>
      <c r="O12" s="83">
        <v>0</v>
      </c>
    </row>
    <row r="13" spans="1:21">
      <c r="B13" s="84">
        <v>29</v>
      </c>
      <c r="C13" s="84" t="s">
        <v>191</v>
      </c>
      <c r="D13" s="84" t="s">
        <v>178</v>
      </c>
      <c r="E13" s="83">
        <v>10.519290886953659</v>
      </c>
      <c r="F13" s="84">
        <v>2</v>
      </c>
      <c r="G13" s="83">
        <v>21.038581773907318</v>
      </c>
      <c r="J13" s="84">
        <v>29</v>
      </c>
      <c r="K13" s="84" t="s">
        <v>191</v>
      </c>
      <c r="L13" s="84" t="s">
        <v>178</v>
      </c>
      <c r="M13" s="83">
        <v>13.53553068463809</v>
      </c>
      <c r="N13" s="84">
        <v>2</v>
      </c>
      <c r="O13" s="83">
        <v>27.07106136927618</v>
      </c>
    </row>
    <row r="14" spans="1:21">
      <c r="E14" s="83"/>
      <c r="G14" s="83">
        <v>0</v>
      </c>
      <c r="M14" s="83"/>
      <c r="O14" s="83">
        <v>0</v>
      </c>
    </row>
    <row r="15" spans="1:21">
      <c r="B15" s="84">
        <v>22</v>
      </c>
      <c r="C15" s="84" t="s">
        <v>192</v>
      </c>
      <c r="D15" s="84" t="s">
        <v>176</v>
      </c>
      <c r="E15" s="83">
        <v>12.060631487702521</v>
      </c>
      <c r="F15" s="84">
        <v>2</v>
      </c>
      <c r="G15" s="83">
        <v>24.121262975405042</v>
      </c>
      <c r="J15" s="84">
        <v>22</v>
      </c>
      <c r="K15" s="84" t="s">
        <v>192</v>
      </c>
      <c r="L15" s="84" t="s">
        <v>176</v>
      </c>
      <c r="M15" s="83">
        <v>13.010933386186988</v>
      </c>
      <c r="N15" s="84">
        <v>2</v>
      </c>
      <c r="O15" s="83">
        <v>26.021866772373976</v>
      </c>
    </row>
    <row r="16" spans="1:21">
      <c r="G16" s="84">
        <v>0</v>
      </c>
      <c r="M16" s="84"/>
      <c r="O16" s="84">
        <v>0</v>
      </c>
    </row>
    <row r="17" spans="2:15">
      <c r="B17" s="120" t="s">
        <v>235</v>
      </c>
      <c r="C17" s="84" t="s">
        <v>192</v>
      </c>
      <c r="D17" s="84" t="s">
        <v>178</v>
      </c>
      <c r="E17" s="83">
        <v>9.2661686276775441</v>
      </c>
      <c r="F17" s="84">
        <v>4</v>
      </c>
      <c r="G17" s="83">
        <v>37.064674510710176</v>
      </c>
      <c r="J17" s="120" t="s">
        <v>235</v>
      </c>
      <c r="K17" s="84" t="s">
        <v>192</v>
      </c>
      <c r="L17" s="84" t="s">
        <v>178</v>
      </c>
      <c r="M17" s="83">
        <v>10.397099142353861</v>
      </c>
      <c r="N17" s="84">
        <v>4</v>
      </c>
      <c r="O17" s="83">
        <v>41.588396569415444</v>
      </c>
    </row>
    <row r="18" spans="2:15">
      <c r="B18" s="84" t="s">
        <v>196</v>
      </c>
      <c r="C18" s="84" t="s">
        <v>192</v>
      </c>
      <c r="D18" s="84" t="s">
        <v>178</v>
      </c>
      <c r="E18" s="83">
        <v>7.716559837213314</v>
      </c>
      <c r="F18" s="84">
        <v>8</v>
      </c>
      <c r="G18" s="83">
        <v>61.732478697706512</v>
      </c>
      <c r="J18" s="84" t="s">
        <v>196</v>
      </c>
      <c r="K18" s="84" t="s">
        <v>192</v>
      </c>
      <c r="L18" s="84" t="s">
        <v>178</v>
      </c>
      <c r="M18" s="83">
        <v>8.8663376723703475</v>
      </c>
      <c r="N18" s="84">
        <v>8</v>
      </c>
      <c r="O18" s="83">
        <v>70.93070137896278</v>
      </c>
    </row>
    <row r="19" spans="2:15">
      <c r="E19" s="84"/>
      <c r="G19" s="83">
        <v>0</v>
      </c>
      <c r="M19" s="84"/>
      <c r="O19" s="83">
        <v>0</v>
      </c>
    </row>
    <row r="20" spans="2:15" ht="15.75" thickBot="1">
      <c r="B20" s="84">
        <v>13</v>
      </c>
      <c r="C20" s="84" t="s">
        <v>193</v>
      </c>
      <c r="D20" s="84" t="s">
        <v>236</v>
      </c>
      <c r="E20" s="83">
        <v>8.7469458670453157</v>
      </c>
      <c r="F20" s="84">
        <v>2</v>
      </c>
      <c r="G20" s="83">
        <v>17.493891734090631</v>
      </c>
      <c r="J20" s="84">
        <v>13</v>
      </c>
      <c r="K20" s="84" t="s">
        <v>193</v>
      </c>
      <c r="L20" s="84" t="s">
        <v>236</v>
      </c>
      <c r="M20" s="83">
        <v>8.7469458670453157</v>
      </c>
      <c r="N20" s="84">
        <v>2</v>
      </c>
      <c r="O20" s="83">
        <v>17.493891734090631</v>
      </c>
    </row>
    <row r="21" spans="2:15" ht="15.75" thickBot="1">
      <c r="B21" s="121" t="s">
        <v>7</v>
      </c>
      <c r="C21" s="119"/>
      <c r="D21" s="119"/>
      <c r="E21" s="119"/>
      <c r="F21" s="119"/>
      <c r="G21" s="33">
        <v>442.07476256928328</v>
      </c>
      <c r="J21" s="121" t="s">
        <v>7</v>
      </c>
      <c r="K21" s="119"/>
      <c r="L21" s="119"/>
      <c r="M21" s="119"/>
      <c r="N21" s="119"/>
      <c r="O21" s="33">
        <v>525.4270996617721</v>
      </c>
    </row>
    <row r="24" spans="2:15">
      <c r="B24" s="129" t="s">
        <v>147</v>
      </c>
      <c r="C24" s="102" t="s">
        <v>185</v>
      </c>
      <c r="D24" s="130"/>
      <c r="E24" s="130"/>
      <c r="F24" s="130"/>
      <c r="G24" s="130"/>
      <c r="J24" s="126"/>
      <c r="K24" s="144"/>
      <c r="L24" s="127"/>
      <c r="M24" s="127"/>
      <c r="N24" s="127"/>
      <c r="O24" s="127"/>
    </row>
    <row r="25" spans="2:15">
      <c r="J25" s="127"/>
      <c r="K25" s="127"/>
      <c r="L25" s="127"/>
      <c r="M25" s="127"/>
      <c r="N25" s="127"/>
      <c r="O25" s="127"/>
    </row>
    <row r="26" spans="2:15" ht="15.75" thickBot="1">
      <c r="B26" s="84" t="s">
        <v>174</v>
      </c>
      <c r="C26" s="84" t="s">
        <v>175</v>
      </c>
      <c r="D26" s="84" t="s">
        <v>188</v>
      </c>
      <c r="E26" s="84" t="s">
        <v>181</v>
      </c>
      <c r="F26" s="84" t="s">
        <v>180</v>
      </c>
      <c r="G26" s="84" t="s">
        <v>207</v>
      </c>
      <c r="N26" s="144"/>
      <c r="O26" s="144"/>
    </row>
    <row r="27" spans="2:15" ht="15.75" thickBot="1">
      <c r="B27" s="84">
        <v>6</v>
      </c>
      <c r="C27" s="84" t="s">
        <v>191</v>
      </c>
      <c r="D27" s="84" t="s">
        <v>176</v>
      </c>
      <c r="E27" s="72">
        <v>38.109106012941943</v>
      </c>
      <c r="F27" s="84">
        <v>2</v>
      </c>
      <c r="G27" s="83">
        <v>76.218212025883886</v>
      </c>
      <c r="J27" s="144"/>
      <c r="K27" s="144"/>
      <c r="L27" s="144"/>
      <c r="M27" s="127"/>
      <c r="N27" s="144"/>
      <c r="O27" s="127"/>
    </row>
    <row r="28" spans="2:15">
      <c r="B28" s="84" t="s">
        <v>177</v>
      </c>
      <c r="C28" s="84" t="s">
        <v>191</v>
      </c>
      <c r="D28" s="84" t="s">
        <v>176</v>
      </c>
      <c r="E28" s="83">
        <v>34.293983447366259</v>
      </c>
      <c r="F28" s="84">
        <v>6</v>
      </c>
      <c r="G28" s="83">
        <v>205.76390068419755</v>
      </c>
      <c r="J28" s="144"/>
      <c r="K28" s="144"/>
      <c r="L28" s="144"/>
      <c r="M28" s="127"/>
      <c r="N28" s="144"/>
      <c r="O28" s="127"/>
    </row>
    <row r="29" spans="2:15">
      <c r="B29" s="84">
        <v>21</v>
      </c>
      <c r="C29" s="84" t="s">
        <v>191</v>
      </c>
      <c r="D29" s="84" t="s">
        <v>176</v>
      </c>
      <c r="E29" s="83">
        <v>35.482634455961659</v>
      </c>
      <c r="F29" s="84">
        <v>2</v>
      </c>
      <c r="G29" s="83">
        <v>70.965268911923317</v>
      </c>
      <c r="J29" s="144"/>
      <c r="K29" s="144"/>
      <c r="L29" s="144"/>
      <c r="M29" s="127"/>
      <c r="N29" s="144"/>
      <c r="O29" s="127"/>
    </row>
    <row r="30" spans="2:15">
      <c r="B30" s="84">
        <v>30</v>
      </c>
      <c r="C30" s="84" t="s">
        <v>191</v>
      </c>
      <c r="D30" s="84" t="s">
        <v>182</v>
      </c>
      <c r="E30" s="83">
        <v>30.222585452355389</v>
      </c>
      <c r="F30" s="84">
        <v>2</v>
      </c>
      <c r="G30" s="83">
        <v>60.445170904710778</v>
      </c>
      <c r="J30" s="144"/>
      <c r="K30" s="144"/>
      <c r="L30" s="144"/>
      <c r="M30" s="127"/>
      <c r="N30" s="144"/>
      <c r="O30" s="127"/>
    </row>
    <row r="31" spans="2:15">
      <c r="E31" s="84"/>
      <c r="G31" s="83">
        <v>0</v>
      </c>
      <c r="J31" s="127"/>
      <c r="K31" s="127"/>
      <c r="L31" s="127"/>
      <c r="M31" s="127"/>
      <c r="N31" s="127"/>
      <c r="O31" s="127"/>
    </row>
    <row r="32" spans="2:15">
      <c r="B32" s="84">
        <v>29</v>
      </c>
      <c r="C32" s="84" t="s">
        <v>191</v>
      </c>
      <c r="D32" s="84" t="s">
        <v>178</v>
      </c>
      <c r="E32" s="83">
        <v>16.871200355944332</v>
      </c>
      <c r="F32" s="84">
        <v>2</v>
      </c>
      <c r="G32" s="83">
        <v>33.742400711888664</v>
      </c>
      <c r="N32" s="144"/>
      <c r="O32" s="127"/>
    </row>
    <row r="33" spans="2:15">
      <c r="E33" s="83"/>
      <c r="G33" s="83">
        <v>0</v>
      </c>
      <c r="J33" s="144"/>
      <c r="K33" s="144"/>
      <c r="L33" s="144"/>
      <c r="M33" s="127"/>
      <c r="N33" s="144"/>
      <c r="O33" s="127"/>
    </row>
    <row r="34" spans="2:15">
      <c r="B34" s="84">
        <v>22</v>
      </c>
      <c r="C34" s="84" t="s">
        <v>192</v>
      </c>
      <c r="D34" s="84" t="s">
        <v>176</v>
      </c>
      <c r="E34" s="83">
        <v>14.050672211142158</v>
      </c>
      <c r="F34" s="84">
        <v>2</v>
      </c>
      <c r="G34" s="83">
        <v>28.101344422284317</v>
      </c>
      <c r="J34" s="127"/>
      <c r="K34" s="127"/>
      <c r="L34" s="127"/>
      <c r="M34" s="127"/>
      <c r="N34" s="127"/>
      <c r="O34" s="127"/>
    </row>
    <row r="35" spans="2:15">
      <c r="G35" s="84">
        <v>0</v>
      </c>
      <c r="J35" s="144"/>
      <c r="K35" s="144"/>
      <c r="L35" s="144"/>
      <c r="M35" s="127"/>
      <c r="N35" s="144"/>
      <c r="O35" s="127"/>
    </row>
    <row r="36" spans="2:15">
      <c r="B36" s="120" t="s">
        <v>235</v>
      </c>
      <c r="C36" s="84" t="s">
        <v>192</v>
      </c>
      <c r="D36" s="84" t="s">
        <v>178</v>
      </c>
      <c r="E36" s="83">
        <v>11.676582112970708</v>
      </c>
      <c r="F36" s="84">
        <v>4</v>
      </c>
      <c r="G36" s="83">
        <v>46.706328451882833</v>
      </c>
      <c r="J36" s="127"/>
      <c r="K36" s="127"/>
      <c r="L36" s="127"/>
      <c r="M36" s="127"/>
      <c r="N36" s="127"/>
      <c r="O36" s="127"/>
    </row>
    <row r="37" spans="2:15">
      <c r="B37" s="84" t="s">
        <v>196</v>
      </c>
      <c r="C37" s="84" t="s">
        <v>192</v>
      </c>
      <c r="D37" s="84" t="s">
        <v>178</v>
      </c>
      <c r="E37" s="83">
        <v>10.185047901459853</v>
      </c>
      <c r="F37" s="84">
        <v>8</v>
      </c>
      <c r="G37" s="83">
        <v>81.480383211678827</v>
      </c>
      <c r="J37" s="128"/>
      <c r="K37" s="144"/>
      <c r="L37" s="144"/>
      <c r="M37" s="127"/>
      <c r="N37" s="144"/>
      <c r="O37" s="127"/>
    </row>
    <row r="38" spans="2:15">
      <c r="E38" s="84"/>
      <c r="G38" s="83">
        <v>0</v>
      </c>
      <c r="J38" s="144"/>
      <c r="K38" s="144"/>
      <c r="L38" s="144"/>
      <c r="M38" s="127"/>
      <c r="N38" s="144"/>
      <c r="O38" s="127"/>
    </row>
    <row r="39" spans="2:15" ht="15.75" thickBot="1">
      <c r="B39" s="84">
        <v>13</v>
      </c>
      <c r="C39" s="84" t="s">
        <v>193</v>
      </c>
      <c r="D39" s="84" t="s">
        <v>236</v>
      </c>
      <c r="E39" s="83">
        <v>8.7469458670453157</v>
      </c>
      <c r="F39" s="84">
        <v>2</v>
      </c>
      <c r="G39" s="83">
        <v>17.493891734090631</v>
      </c>
      <c r="J39" s="127"/>
      <c r="K39" s="127"/>
      <c r="L39" s="127"/>
      <c r="M39" s="127"/>
      <c r="N39" s="127"/>
      <c r="O39" s="127"/>
    </row>
    <row r="40" spans="2:15" ht="15.75" thickBot="1">
      <c r="B40" s="121" t="s">
        <v>7</v>
      </c>
      <c r="C40" s="119"/>
      <c r="D40" s="119"/>
      <c r="E40" s="119"/>
      <c r="F40" s="119"/>
      <c r="G40" s="33">
        <v>620.91690105854082</v>
      </c>
      <c r="J40" s="144"/>
      <c r="K40" s="144"/>
      <c r="L40" s="144"/>
      <c r="M40" s="127"/>
      <c r="N40" s="144"/>
      <c r="O40" s="127"/>
    </row>
    <row r="41" spans="2:15">
      <c r="J41" s="127"/>
      <c r="K41" s="127"/>
      <c r="L41" s="127"/>
      <c r="M41" s="127"/>
      <c r="N41" s="127"/>
      <c r="O41" s="127"/>
    </row>
    <row r="42" spans="2:15">
      <c r="J42" s="127"/>
      <c r="K42" s="127"/>
      <c r="L42" s="127"/>
      <c r="M42" s="127"/>
      <c r="N42" s="127"/>
      <c r="O42" s="127"/>
    </row>
    <row r="43" spans="2:15">
      <c r="B43" s="129" t="s">
        <v>147</v>
      </c>
      <c r="C43" s="102">
        <v>1</v>
      </c>
      <c r="D43" s="130"/>
      <c r="E43" s="130"/>
      <c r="F43" s="130"/>
      <c r="G43" s="130"/>
    </row>
    <row r="45" spans="2:15" ht="15.75" thickBot="1">
      <c r="B45" s="84" t="s">
        <v>174</v>
      </c>
      <c r="C45" s="84" t="s">
        <v>175</v>
      </c>
      <c r="D45" s="84" t="s">
        <v>188</v>
      </c>
      <c r="E45" s="84" t="s">
        <v>181</v>
      </c>
      <c r="F45" s="84" t="s">
        <v>180</v>
      </c>
      <c r="G45" s="84" t="s">
        <v>207</v>
      </c>
    </row>
    <row r="46" spans="2:15" ht="15.75" thickBot="1">
      <c r="B46" s="84">
        <v>6</v>
      </c>
      <c r="C46" s="84" t="s">
        <v>191</v>
      </c>
      <c r="D46" s="84" t="s">
        <v>176</v>
      </c>
      <c r="E46" s="72">
        <v>40.994172814644081</v>
      </c>
      <c r="F46" s="84">
        <v>2</v>
      </c>
      <c r="G46" s="83">
        <v>81.988345629288162</v>
      </c>
    </row>
    <row r="47" spans="2:15">
      <c r="B47" s="84" t="s">
        <v>177</v>
      </c>
      <c r="C47" s="84" t="s">
        <v>191</v>
      </c>
      <c r="D47" s="84" t="s">
        <v>176</v>
      </c>
      <c r="E47" s="83">
        <v>38.999595691256978</v>
      </c>
      <c r="F47" s="84">
        <v>6</v>
      </c>
      <c r="G47" s="83">
        <v>233.99757414754185</v>
      </c>
    </row>
    <row r="48" spans="2:15">
      <c r="B48" s="84">
        <v>21</v>
      </c>
      <c r="C48" s="84" t="s">
        <v>191</v>
      </c>
      <c r="D48" s="84" t="s">
        <v>176</v>
      </c>
      <c r="E48" s="83">
        <v>39.630623062319806</v>
      </c>
      <c r="F48" s="84">
        <v>2</v>
      </c>
      <c r="G48" s="83">
        <v>79.261246124639612</v>
      </c>
    </row>
    <row r="49" spans="1:22">
      <c r="B49" s="84">
        <v>30</v>
      </c>
      <c r="C49" s="84" t="s">
        <v>191</v>
      </c>
      <c r="D49" s="84" t="s">
        <v>182</v>
      </c>
      <c r="E49" s="83">
        <v>36.769247132588475</v>
      </c>
      <c r="F49" s="84">
        <v>2</v>
      </c>
      <c r="G49" s="83">
        <v>73.538494265176951</v>
      </c>
    </row>
    <row r="50" spans="1:22">
      <c r="E50" s="84"/>
      <c r="G50" s="83">
        <v>0</v>
      </c>
    </row>
    <row r="51" spans="1:22">
      <c r="B51" s="84">
        <v>29</v>
      </c>
      <c r="C51" s="84" t="s">
        <v>191</v>
      </c>
      <c r="D51" s="84" t="s">
        <v>178</v>
      </c>
      <c r="E51" s="83">
        <v>28.614491973976044</v>
      </c>
      <c r="F51" s="84">
        <v>2</v>
      </c>
      <c r="G51" s="83">
        <v>57.228983947952088</v>
      </c>
    </row>
    <row r="52" spans="1:22">
      <c r="E52" s="84"/>
      <c r="G52" s="84">
        <v>0</v>
      </c>
    </row>
    <row r="53" spans="1:22">
      <c r="B53" s="84">
        <v>22</v>
      </c>
      <c r="C53" s="84" t="s">
        <v>192</v>
      </c>
      <c r="D53" s="84" t="s">
        <v>176</v>
      </c>
      <c r="E53" s="83">
        <v>10.47922439554835</v>
      </c>
      <c r="F53" s="84">
        <v>2</v>
      </c>
      <c r="G53" s="83">
        <v>20.9584487910967</v>
      </c>
    </row>
    <row r="54" spans="1:22">
      <c r="E54" s="84"/>
      <c r="G54" s="84">
        <v>0</v>
      </c>
    </row>
    <row r="55" spans="1:22">
      <c r="B55" s="120" t="s">
        <v>235</v>
      </c>
      <c r="C55" s="84" t="s">
        <v>192</v>
      </c>
      <c r="D55" s="84" t="s">
        <v>178</v>
      </c>
      <c r="E55" s="83">
        <v>9.6136140515386383</v>
      </c>
      <c r="F55" s="84">
        <v>4</v>
      </c>
      <c r="G55" s="83">
        <v>38.454456206154553</v>
      </c>
    </row>
    <row r="56" spans="1:22">
      <c r="B56" s="84" t="s">
        <v>196</v>
      </c>
      <c r="C56" s="84" t="s">
        <v>192</v>
      </c>
      <c r="D56" s="84" t="s">
        <v>178</v>
      </c>
      <c r="E56" s="83">
        <v>9.0095980925514016</v>
      </c>
      <c r="F56" s="84">
        <v>8</v>
      </c>
      <c r="G56" s="83">
        <v>72.076784740411213</v>
      </c>
    </row>
    <row r="57" spans="1:22">
      <c r="E57" s="84"/>
      <c r="G57" s="83">
        <v>0</v>
      </c>
    </row>
    <row r="58" spans="1:22" ht="15.75" thickBot="1">
      <c r="B58" s="84">
        <v>13</v>
      </c>
      <c r="C58" s="84" t="s">
        <v>193</v>
      </c>
      <c r="D58" s="84" t="s">
        <v>236</v>
      </c>
      <c r="E58" s="83">
        <v>5.2661250566367297</v>
      </c>
      <c r="F58" s="84">
        <v>2</v>
      </c>
      <c r="G58" s="83">
        <v>10.532250113273459</v>
      </c>
    </row>
    <row r="59" spans="1:22" ht="15.75" thickBot="1">
      <c r="B59" s="121" t="s">
        <v>7</v>
      </c>
      <c r="C59" s="119"/>
      <c r="D59" s="119"/>
      <c r="E59" s="119"/>
      <c r="F59" s="119"/>
      <c r="G59" s="33">
        <v>668.03658396553453</v>
      </c>
    </row>
    <row r="62" spans="1:22" ht="18.75">
      <c r="A62" s="131"/>
      <c r="B62" s="132" t="s">
        <v>95</v>
      </c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</row>
    <row r="64" spans="1:22">
      <c r="B64" s="129" t="s">
        <v>147</v>
      </c>
      <c r="C64" s="102">
        <v>6</v>
      </c>
      <c r="D64" s="130"/>
      <c r="E64" s="130"/>
      <c r="F64" s="130"/>
      <c r="G64" s="130"/>
      <c r="J64" s="129" t="s">
        <v>147</v>
      </c>
      <c r="K64" s="102">
        <v>5</v>
      </c>
      <c r="L64" s="130"/>
      <c r="M64" s="130"/>
      <c r="N64" s="130"/>
      <c r="O64" s="130"/>
    </row>
    <row r="66" spans="2:15">
      <c r="B66" s="84" t="s">
        <v>174</v>
      </c>
      <c r="C66" s="84" t="s">
        <v>175</v>
      </c>
      <c r="D66" s="84" t="s">
        <v>183</v>
      </c>
      <c r="E66" s="84" t="s">
        <v>181</v>
      </c>
      <c r="F66" s="84" t="s">
        <v>180</v>
      </c>
      <c r="G66" s="84" t="s">
        <v>207</v>
      </c>
      <c r="J66" s="84" t="s">
        <v>174</v>
      </c>
      <c r="K66" s="84" t="s">
        <v>175</v>
      </c>
      <c r="L66" s="84" t="s">
        <v>183</v>
      </c>
      <c r="M66" s="84" t="s">
        <v>181</v>
      </c>
      <c r="N66" s="84" t="s">
        <v>180</v>
      </c>
      <c r="O66" s="84" t="s">
        <v>207</v>
      </c>
    </row>
    <row r="67" spans="2:15">
      <c r="B67" s="84">
        <v>12</v>
      </c>
      <c r="C67" s="84" t="s">
        <v>191</v>
      </c>
      <c r="D67" s="84" t="s">
        <v>176</v>
      </c>
      <c r="E67" s="83">
        <v>22.161748101519208</v>
      </c>
      <c r="F67" s="84">
        <v>2</v>
      </c>
      <c r="G67" s="83">
        <v>44.323496203038417</v>
      </c>
      <c r="J67" s="84">
        <v>12</v>
      </c>
      <c r="K67" s="84" t="s">
        <v>191</v>
      </c>
      <c r="L67" s="84" t="s">
        <v>176</v>
      </c>
      <c r="M67" s="83">
        <v>27.167393575775225</v>
      </c>
      <c r="N67" s="84">
        <v>2</v>
      </c>
      <c r="O67" s="83">
        <v>54.334787151550451</v>
      </c>
    </row>
    <row r="68" spans="2:15">
      <c r="E68" s="84"/>
      <c r="F68" s="84"/>
      <c r="G68" s="83">
        <v>0</v>
      </c>
      <c r="M68" s="84"/>
      <c r="N68" s="84"/>
      <c r="O68" s="83">
        <v>0</v>
      </c>
    </row>
    <row r="69" spans="2:15">
      <c r="B69" s="120" t="s">
        <v>190</v>
      </c>
      <c r="C69" s="84" t="s">
        <v>191</v>
      </c>
      <c r="D69" s="84" t="s">
        <v>178</v>
      </c>
      <c r="E69" s="83">
        <v>12.058777502800043</v>
      </c>
      <c r="F69" s="84">
        <v>10</v>
      </c>
      <c r="G69" s="83">
        <v>120.58777502800042</v>
      </c>
      <c r="J69" s="120" t="s">
        <v>190</v>
      </c>
      <c r="K69" s="84" t="s">
        <v>191</v>
      </c>
      <c r="L69" s="84" t="s">
        <v>178</v>
      </c>
      <c r="M69" s="83">
        <v>14.27821243742039</v>
      </c>
      <c r="N69" s="84">
        <v>10</v>
      </c>
      <c r="O69" s="83">
        <v>142.7821243742039</v>
      </c>
    </row>
    <row r="70" spans="2:15">
      <c r="B70" s="120" t="s">
        <v>187</v>
      </c>
      <c r="C70" s="84" t="s">
        <v>191</v>
      </c>
      <c r="D70" s="84" t="s">
        <v>178</v>
      </c>
      <c r="E70" s="83">
        <v>15.246324268722059</v>
      </c>
      <c r="F70" s="84">
        <v>4</v>
      </c>
      <c r="G70" s="83">
        <v>60.985297074888237</v>
      </c>
      <c r="J70" s="120" t="s">
        <v>187</v>
      </c>
      <c r="K70" s="84" t="s">
        <v>191</v>
      </c>
      <c r="L70" s="84" t="s">
        <v>178</v>
      </c>
      <c r="M70" s="83">
        <v>17.480923458767474</v>
      </c>
      <c r="N70" s="84">
        <v>4</v>
      </c>
      <c r="O70" s="83">
        <v>69.923693835069898</v>
      </c>
    </row>
    <row r="71" spans="2:15">
      <c r="B71" s="84"/>
      <c r="C71" s="84"/>
      <c r="D71" s="84"/>
      <c r="E71" s="84"/>
      <c r="F71" s="84"/>
      <c r="G71" s="83">
        <v>0</v>
      </c>
      <c r="J71" s="84"/>
      <c r="K71" s="84"/>
      <c r="L71" s="84"/>
      <c r="M71" s="84"/>
      <c r="N71" s="84"/>
      <c r="O71" s="83">
        <v>0</v>
      </c>
    </row>
    <row r="72" spans="2:15">
      <c r="B72" s="120" t="s">
        <v>194</v>
      </c>
      <c r="C72" s="84" t="s">
        <v>192</v>
      </c>
      <c r="D72" s="84" t="s">
        <v>186</v>
      </c>
      <c r="E72" s="83">
        <v>7.8211967872228785</v>
      </c>
      <c r="F72" s="84">
        <v>8</v>
      </c>
      <c r="G72" s="83">
        <v>62.569574297783028</v>
      </c>
      <c r="J72" s="120" t="s">
        <v>194</v>
      </c>
      <c r="K72" s="84" t="s">
        <v>192</v>
      </c>
      <c r="L72" s="84" t="s">
        <v>186</v>
      </c>
      <c r="M72" s="83">
        <v>8.5649107914795426</v>
      </c>
      <c r="N72" s="84">
        <v>8</v>
      </c>
      <c r="O72" s="83">
        <v>68.519286331836341</v>
      </c>
    </row>
    <row r="73" spans="2:15">
      <c r="B73" s="120" t="s">
        <v>189</v>
      </c>
      <c r="C73" s="84" t="s">
        <v>192</v>
      </c>
      <c r="D73" s="84" t="s">
        <v>178</v>
      </c>
      <c r="E73" s="83">
        <v>8.7728827313948567</v>
      </c>
      <c r="F73" s="84">
        <v>2</v>
      </c>
      <c r="G73" s="83">
        <v>17.545765462789713</v>
      </c>
      <c r="J73" s="120" t="s">
        <v>189</v>
      </c>
      <c r="K73" s="84" t="s">
        <v>192</v>
      </c>
      <c r="L73" s="84" t="s">
        <v>178</v>
      </c>
      <c r="M73" s="83">
        <v>9.6617261026544288</v>
      </c>
      <c r="N73" s="84">
        <v>2</v>
      </c>
      <c r="O73" s="83">
        <v>19.323452205308858</v>
      </c>
    </row>
    <row r="74" spans="2:15">
      <c r="E74" s="83"/>
      <c r="G74" s="83">
        <v>0</v>
      </c>
      <c r="M74" s="83"/>
      <c r="O74" s="83">
        <v>0</v>
      </c>
    </row>
    <row r="75" spans="2:15">
      <c r="B75" s="84">
        <v>3</v>
      </c>
      <c r="C75" s="84" t="s">
        <v>192</v>
      </c>
      <c r="D75" s="84" t="s">
        <v>179</v>
      </c>
      <c r="E75" s="83">
        <v>2.3730687066935863</v>
      </c>
      <c r="F75" s="84">
        <v>2</v>
      </c>
      <c r="G75" s="83">
        <v>17.545765462789713</v>
      </c>
      <c r="J75" s="84">
        <v>3</v>
      </c>
      <c r="K75" s="84" t="s">
        <v>192</v>
      </c>
      <c r="L75" s="84" t="s">
        <v>179</v>
      </c>
      <c r="M75" s="83">
        <v>2.1916064954831178</v>
      </c>
      <c r="N75" s="84">
        <v>2</v>
      </c>
      <c r="O75" s="83">
        <v>4.3832129909662356</v>
      </c>
    </row>
    <row r="76" spans="2:15" ht="15.75" thickBot="1">
      <c r="B76" s="84">
        <v>27</v>
      </c>
      <c r="C76" s="84" t="s">
        <v>192</v>
      </c>
      <c r="D76" s="84" t="s">
        <v>179</v>
      </c>
      <c r="E76" s="83">
        <v>2.0916425538037853</v>
      </c>
      <c r="F76" s="84">
        <v>2</v>
      </c>
      <c r="G76" s="83">
        <v>4.1832851076075706</v>
      </c>
      <c r="J76" s="84">
        <v>27</v>
      </c>
      <c r="K76" s="84" t="s">
        <v>192</v>
      </c>
      <c r="L76" s="84" t="s">
        <v>179</v>
      </c>
      <c r="M76" s="83">
        <v>1.9493779601405787</v>
      </c>
      <c r="N76" s="84">
        <v>2</v>
      </c>
      <c r="O76" s="83">
        <v>3.8987559202811575</v>
      </c>
    </row>
    <row r="77" spans="2:15" ht="15.75" thickBot="1">
      <c r="B77" s="121" t="s">
        <v>7</v>
      </c>
      <c r="C77" s="119"/>
      <c r="D77" s="119"/>
      <c r="E77" s="119"/>
      <c r="F77" s="119"/>
      <c r="G77" s="33">
        <v>327.74095863689706</v>
      </c>
      <c r="J77" s="121" t="s">
        <v>7</v>
      </c>
      <c r="K77" s="119"/>
      <c r="L77" s="119"/>
      <c r="M77" s="119"/>
      <c r="N77" s="119"/>
      <c r="O77" s="33">
        <v>363.1653128092168</v>
      </c>
    </row>
    <row r="78" spans="2:15">
      <c r="J78" s="84"/>
      <c r="K78" s="84"/>
      <c r="L78" s="84"/>
    </row>
    <row r="79" spans="2:15">
      <c r="J79" s="120"/>
      <c r="K79" s="84"/>
      <c r="L79" s="84"/>
    </row>
    <row r="80" spans="2:15">
      <c r="B80" s="129" t="s">
        <v>147</v>
      </c>
      <c r="C80" s="102" t="s">
        <v>148</v>
      </c>
      <c r="D80" s="130"/>
      <c r="E80" s="130"/>
      <c r="F80" s="130"/>
      <c r="G80" s="130"/>
      <c r="J80" s="126"/>
      <c r="K80" s="144"/>
      <c r="L80" s="127"/>
      <c r="M80" s="127"/>
      <c r="N80" s="127"/>
      <c r="O80" s="127"/>
    </row>
    <row r="81" spans="2:15">
      <c r="J81" s="127"/>
      <c r="K81" s="127"/>
      <c r="L81" s="127"/>
      <c r="M81" s="127"/>
      <c r="N81" s="127"/>
      <c r="O81" s="127"/>
    </row>
    <row r="82" spans="2:15">
      <c r="B82" s="84" t="s">
        <v>174</v>
      </c>
      <c r="C82" s="84" t="s">
        <v>175</v>
      </c>
      <c r="D82" s="84" t="s">
        <v>183</v>
      </c>
      <c r="E82" s="84" t="s">
        <v>181</v>
      </c>
      <c r="F82" s="84" t="s">
        <v>180</v>
      </c>
      <c r="G82" s="84" t="s">
        <v>207</v>
      </c>
      <c r="J82" s="144"/>
      <c r="K82" s="144"/>
      <c r="L82" s="144"/>
      <c r="M82" s="144"/>
      <c r="N82" s="144"/>
      <c r="O82" s="144"/>
    </row>
    <row r="83" spans="2:15">
      <c r="B83" s="84">
        <v>12</v>
      </c>
      <c r="C83" s="84" t="s">
        <v>191</v>
      </c>
      <c r="D83" s="84" t="s">
        <v>176</v>
      </c>
      <c r="E83" s="83">
        <v>32.925314647198725</v>
      </c>
      <c r="F83" s="84">
        <v>2</v>
      </c>
      <c r="G83" s="83">
        <v>65.85062929439745</v>
      </c>
    </row>
    <row r="84" spans="2:15">
      <c r="E84" s="84"/>
      <c r="F84" s="84"/>
      <c r="G84" s="83">
        <v>0</v>
      </c>
    </row>
    <row r="85" spans="2:15">
      <c r="B85" s="120" t="s">
        <v>190</v>
      </c>
      <c r="C85" s="84" t="s">
        <v>191</v>
      </c>
      <c r="D85" s="84" t="s">
        <v>178</v>
      </c>
      <c r="E85" s="83">
        <v>17.773792909041276</v>
      </c>
      <c r="F85" s="84">
        <v>10</v>
      </c>
      <c r="G85" s="83">
        <v>177.73792909041276</v>
      </c>
    </row>
    <row r="86" spans="2:15">
      <c r="B86" s="120" t="s">
        <v>187</v>
      </c>
      <c r="C86" s="84" t="s">
        <v>191</v>
      </c>
      <c r="D86" s="84" t="s">
        <v>178</v>
      </c>
      <c r="E86" s="83">
        <v>21.631304278189067</v>
      </c>
      <c r="F86" s="84">
        <v>4</v>
      </c>
      <c r="G86" s="83">
        <v>86.525217112756266</v>
      </c>
    </row>
    <row r="87" spans="2:15">
      <c r="B87" s="84"/>
      <c r="C87" s="84"/>
      <c r="D87" s="84"/>
      <c r="E87" s="84"/>
      <c r="F87" s="84"/>
      <c r="G87" s="83">
        <v>0</v>
      </c>
    </row>
    <row r="88" spans="2:15">
      <c r="B88" s="120" t="s">
        <v>194</v>
      </c>
      <c r="C88" s="84" t="s">
        <v>192</v>
      </c>
      <c r="D88" s="84" t="s">
        <v>186</v>
      </c>
      <c r="E88" s="83">
        <v>9.8820932188385253</v>
      </c>
      <c r="F88" s="84">
        <v>8</v>
      </c>
      <c r="G88" s="83">
        <v>79.056745750708203</v>
      </c>
    </row>
    <row r="89" spans="2:15">
      <c r="B89" s="120" t="s">
        <v>189</v>
      </c>
      <c r="C89" s="84" t="s">
        <v>192</v>
      </c>
      <c r="D89" s="84" t="s">
        <v>178</v>
      </c>
      <c r="E89" s="83">
        <v>10.969744988207545</v>
      </c>
      <c r="F89" s="84">
        <v>2</v>
      </c>
      <c r="G89" s="83">
        <v>21.939489976415089</v>
      </c>
    </row>
    <row r="90" spans="2:15">
      <c r="E90" s="83"/>
      <c r="G90" s="83">
        <v>0</v>
      </c>
    </row>
    <row r="91" spans="2:15">
      <c r="B91" s="84">
        <v>3</v>
      </c>
      <c r="C91" s="84" t="s">
        <v>192</v>
      </c>
      <c r="D91" s="84" t="s">
        <v>179</v>
      </c>
      <c r="E91" s="83">
        <v>2.1916064954831178</v>
      </c>
      <c r="F91" s="84">
        <v>2</v>
      </c>
      <c r="G91" s="83">
        <v>4.3832129909662356</v>
      </c>
    </row>
    <row r="92" spans="2:15" ht="15.75" thickBot="1">
      <c r="B92" s="84">
        <v>27</v>
      </c>
      <c r="C92" s="84" t="s">
        <v>192</v>
      </c>
      <c r="D92" s="84" t="s">
        <v>179</v>
      </c>
      <c r="E92" s="83">
        <v>1.9493779601405787</v>
      </c>
      <c r="F92" s="84">
        <v>2</v>
      </c>
      <c r="G92" s="83">
        <v>3.8987559202811575</v>
      </c>
    </row>
    <row r="93" spans="2:15" ht="15.75" thickBot="1">
      <c r="B93" s="121" t="s">
        <v>7</v>
      </c>
      <c r="C93" s="119"/>
      <c r="D93" s="119"/>
      <c r="E93" s="119"/>
      <c r="F93" s="119"/>
      <c r="G93" s="33">
        <v>439.3919801359371</v>
      </c>
    </row>
    <row r="96" spans="2:15">
      <c r="B96" s="129" t="s">
        <v>147</v>
      </c>
      <c r="C96" s="102">
        <v>1</v>
      </c>
      <c r="D96" s="130"/>
      <c r="E96" s="130"/>
      <c r="F96" s="130"/>
      <c r="G96" s="130"/>
    </row>
    <row r="98" spans="2:7">
      <c r="B98" s="84" t="s">
        <v>174</v>
      </c>
      <c r="C98" s="84" t="s">
        <v>175</v>
      </c>
      <c r="D98" s="84" t="s">
        <v>183</v>
      </c>
      <c r="E98" s="84" t="s">
        <v>181</v>
      </c>
      <c r="F98" s="84" t="s">
        <v>180</v>
      </c>
      <c r="G98" s="84" t="s">
        <v>207</v>
      </c>
    </row>
    <row r="99" spans="2:7">
      <c r="B99" s="84">
        <v>12</v>
      </c>
      <c r="C99" s="84" t="s">
        <v>191</v>
      </c>
      <c r="D99" s="84" t="s">
        <v>176</v>
      </c>
      <c r="E99" s="83">
        <v>38.261915787682113</v>
      </c>
      <c r="F99" s="84">
        <v>2</v>
      </c>
      <c r="G99" s="83">
        <v>76.523831575364227</v>
      </c>
    </row>
    <row r="100" spans="2:7">
      <c r="E100" s="83"/>
      <c r="F100" s="84"/>
      <c r="G100" s="83">
        <v>0</v>
      </c>
    </row>
    <row r="101" spans="2:7">
      <c r="B101" s="120" t="s">
        <v>190</v>
      </c>
      <c r="C101" s="84" t="s">
        <v>191</v>
      </c>
      <c r="D101" s="84" t="s">
        <v>178</v>
      </c>
      <c r="E101" s="83">
        <v>29.210787997055348</v>
      </c>
      <c r="F101" s="84">
        <v>10</v>
      </c>
      <c r="G101" s="83">
        <v>292.10787997055348</v>
      </c>
    </row>
    <row r="102" spans="2:7">
      <c r="B102" s="120" t="s">
        <v>187</v>
      </c>
      <c r="C102" s="84" t="s">
        <v>191</v>
      </c>
      <c r="D102" s="84" t="s">
        <v>178</v>
      </c>
      <c r="E102" s="83">
        <v>31.681646431655569</v>
      </c>
      <c r="F102" s="84">
        <v>4</v>
      </c>
      <c r="G102" s="83">
        <v>126.72658572662228</v>
      </c>
    </row>
    <row r="103" spans="2:7">
      <c r="B103" s="84"/>
      <c r="C103" s="84"/>
      <c r="D103" s="84"/>
      <c r="E103" s="84"/>
      <c r="F103" s="84"/>
      <c r="G103" s="83">
        <v>0</v>
      </c>
    </row>
    <row r="104" spans="2:7">
      <c r="B104" s="120" t="s">
        <v>194</v>
      </c>
      <c r="C104" s="84" t="s">
        <v>192</v>
      </c>
      <c r="D104" s="84" t="s">
        <v>186</v>
      </c>
      <c r="E104" s="83">
        <v>8.880553873297325</v>
      </c>
      <c r="F104" s="84">
        <v>8</v>
      </c>
      <c r="G104" s="83">
        <v>71.0444309863786</v>
      </c>
    </row>
    <row r="105" spans="2:7">
      <c r="B105" s="120" t="s">
        <v>189</v>
      </c>
      <c r="C105" s="84" t="s">
        <v>192</v>
      </c>
      <c r="D105" s="84" t="s">
        <v>178</v>
      </c>
      <c r="E105" s="83">
        <v>9.3336612081509589</v>
      </c>
      <c r="F105" s="84">
        <v>2</v>
      </c>
      <c r="G105" s="83">
        <v>18.667322416301918</v>
      </c>
    </row>
    <row r="106" spans="2:7">
      <c r="E106" s="84"/>
      <c r="G106" s="84">
        <v>0</v>
      </c>
    </row>
    <row r="107" spans="2:7">
      <c r="B107" s="84">
        <v>3</v>
      </c>
      <c r="C107" s="84" t="s">
        <v>192</v>
      </c>
      <c r="D107" s="84" t="s">
        <v>179</v>
      </c>
      <c r="E107" s="83">
        <v>4.6325153805373791</v>
      </c>
      <c r="F107" s="84">
        <v>2</v>
      </c>
      <c r="G107" s="83">
        <v>9.2650307610747582</v>
      </c>
    </row>
    <row r="108" spans="2:7" ht="15.75" thickBot="1">
      <c r="B108" s="84">
        <v>27</v>
      </c>
      <c r="C108" s="84" t="s">
        <v>192</v>
      </c>
      <c r="D108" s="84" t="s">
        <v>179</v>
      </c>
      <c r="E108" s="83">
        <v>4.4589457414320242</v>
      </c>
      <c r="F108" s="84">
        <v>2</v>
      </c>
      <c r="G108" s="83">
        <v>8.9178914828640483</v>
      </c>
    </row>
    <row r="109" spans="2:7" ht="15.75" thickBot="1">
      <c r="B109" s="121" t="s">
        <v>195</v>
      </c>
      <c r="C109" s="119"/>
      <c r="D109" s="119"/>
      <c r="E109" s="119"/>
      <c r="F109" s="119"/>
      <c r="G109" s="33">
        <v>603.25297291915933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O30"/>
  <sheetViews>
    <sheetView workbookViewId="0">
      <selection activeCell="H36" sqref="H36"/>
    </sheetView>
  </sheetViews>
  <sheetFormatPr defaultRowHeight="15"/>
  <cols>
    <col min="2" max="2" width="12.140625" customWidth="1"/>
    <col min="3" max="3" width="13.5703125" customWidth="1"/>
    <col min="4" max="4" width="14.140625" customWidth="1"/>
    <col min="6" max="6" width="12.28515625" customWidth="1"/>
    <col min="7" max="7" width="14.42578125" customWidth="1"/>
    <col min="8" max="8" width="13.42578125" customWidth="1"/>
    <col min="9" max="9" width="12.5703125" customWidth="1"/>
    <col min="10" max="10" width="11.5703125" customWidth="1"/>
    <col min="11" max="11" width="11.28515625" customWidth="1"/>
    <col min="13" max="13" width="10.140625" customWidth="1"/>
    <col min="14" max="15" width="11.7109375" customWidth="1"/>
    <col min="17" max="17" width="13.28515625" customWidth="1"/>
    <col min="18" max="18" width="12.85546875" customWidth="1"/>
    <col min="19" max="19" width="11.5703125" customWidth="1"/>
    <col min="20" max="20" width="12.5703125" customWidth="1"/>
    <col min="21" max="21" width="10.5703125" customWidth="1"/>
    <col min="22" max="22" width="12.140625" customWidth="1"/>
    <col min="24" max="25" width="11.140625" customWidth="1"/>
  </cols>
  <sheetData>
    <row r="2" spans="2:15">
      <c r="G2" s="323" t="s">
        <v>157</v>
      </c>
      <c r="H2" s="324"/>
      <c r="I2" s="324"/>
      <c r="J2" s="324"/>
      <c r="K2" s="324"/>
      <c r="L2" s="324"/>
      <c r="M2" s="324"/>
      <c r="N2" s="324"/>
      <c r="O2" s="325"/>
    </row>
    <row r="3" spans="2:15" ht="17.25">
      <c r="B3" s="96" t="s">
        <v>150</v>
      </c>
      <c r="C3" s="96" t="s">
        <v>151</v>
      </c>
      <c r="D3" s="96" t="s">
        <v>152</v>
      </c>
      <c r="G3" s="96" t="s">
        <v>75</v>
      </c>
      <c r="H3" s="96" t="s">
        <v>163</v>
      </c>
      <c r="I3" s="240" t="s">
        <v>164</v>
      </c>
      <c r="J3" s="96" t="s">
        <v>169</v>
      </c>
      <c r="K3" s="96" t="s">
        <v>151</v>
      </c>
      <c r="L3" s="96" t="s">
        <v>159</v>
      </c>
      <c r="M3" s="96" t="s">
        <v>161</v>
      </c>
      <c r="N3" s="104" t="s">
        <v>165</v>
      </c>
      <c r="O3" s="104" t="s">
        <v>167</v>
      </c>
    </row>
    <row r="4" spans="2:15" ht="17.25">
      <c r="B4" s="99"/>
      <c r="C4" s="100" t="s">
        <v>154</v>
      </c>
      <c r="D4" s="100" t="s">
        <v>154</v>
      </c>
      <c r="G4" s="99"/>
      <c r="H4" s="100" t="s">
        <v>158</v>
      </c>
      <c r="I4" s="242" t="s">
        <v>158</v>
      </c>
      <c r="J4" s="100" t="s">
        <v>170</v>
      </c>
      <c r="K4" s="100" t="s">
        <v>154</v>
      </c>
      <c r="L4" s="100" t="s">
        <v>160</v>
      </c>
      <c r="M4" s="100" t="s">
        <v>160</v>
      </c>
      <c r="N4" s="103" t="s">
        <v>166</v>
      </c>
      <c r="O4" s="103" t="s">
        <v>168</v>
      </c>
    </row>
    <row r="5" spans="2:15">
      <c r="B5" s="95" t="s">
        <v>153</v>
      </c>
      <c r="C5" s="7">
        <f>Rig_tip_pilastro!G21</f>
        <v>442.07476256928328</v>
      </c>
      <c r="D5" s="7">
        <f>Rig_tip_pilastro!G77</f>
        <v>327.74095863689706</v>
      </c>
      <c r="G5" s="98" t="s">
        <v>153</v>
      </c>
      <c r="H5" s="7">
        <f>'Masse e Forze'!F14</f>
        <v>521.56697046546958</v>
      </c>
      <c r="I5" s="7">
        <f>'Masse e Forze'!G14</f>
        <v>521.56697046546958</v>
      </c>
      <c r="J5" s="243">
        <f>'Masse e Forze'!F3</f>
        <v>408.40366972477057</v>
      </c>
      <c r="K5" s="30">
        <f t="shared" ref="K5:K10" si="0">C5</f>
        <v>442.07476256928328</v>
      </c>
      <c r="L5" s="30">
        <f t="shared" ref="L5:L10" si="1">I5/K5</f>
        <v>1.1798162089918627</v>
      </c>
      <c r="M5" s="7">
        <f>M6+L5</f>
        <v>13.314782812340432</v>
      </c>
      <c r="N5" s="85">
        <f t="shared" ref="N5:N10" si="2">H5*M5</f>
        <v>6944.5509338381044</v>
      </c>
      <c r="O5" s="7">
        <f t="shared" ref="O5:O10" si="3">J5*M5^2/1000</f>
        <v>72.403208024608858</v>
      </c>
    </row>
    <row r="6" spans="2:15">
      <c r="B6" s="95">
        <v>5</v>
      </c>
      <c r="C6" s="30">
        <f>Rig_tip_pilastro!O21</f>
        <v>525.4270996617721</v>
      </c>
      <c r="D6" s="30">
        <f>Rig_tip_pilastro!O77</f>
        <v>363.1653128092168</v>
      </c>
      <c r="G6" s="95">
        <v>5</v>
      </c>
      <c r="H6" s="30">
        <f>'Masse e Forze'!F15</f>
        <v>440.45015600672093</v>
      </c>
      <c r="I6" s="30">
        <f>'Masse e Forze'!G15</f>
        <v>962.01712647219051</v>
      </c>
      <c r="J6" s="243">
        <f>'Masse e Forze'!F4</f>
        <v>411.77370030581039</v>
      </c>
      <c r="K6" s="30">
        <f t="shared" si="0"/>
        <v>525.4270996617721</v>
      </c>
      <c r="L6" s="30">
        <f t="shared" si="1"/>
        <v>1.8309240750837938</v>
      </c>
      <c r="M6" s="30">
        <f>M7+L6</f>
        <v>12.13496660334857</v>
      </c>
      <c r="N6" s="39">
        <f t="shared" si="2"/>
        <v>5344.8479335812262</v>
      </c>
      <c r="O6" s="30">
        <f t="shared" si="3"/>
        <v>60.636730451466235</v>
      </c>
    </row>
    <row r="7" spans="2:15">
      <c r="B7" s="95">
        <v>4</v>
      </c>
      <c r="C7" s="30">
        <f>Rig_tip_pilastro!G40</f>
        <v>620.91690105854082</v>
      </c>
      <c r="D7" s="30">
        <f>Rig_tip_pilastro!G93</f>
        <v>439.3919801359371</v>
      </c>
      <c r="G7" s="95">
        <v>4</v>
      </c>
      <c r="H7" s="30">
        <f>'Masse e Forze'!F16</f>
        <v>355.029519690266</v>
      </c>
      <c r="I7" s="30">
        <f>'Masse e Forze'!G16</f>
        <v>1317.0466461624565</v>
      </c>
      <c r="J7" s="243">
        <f>'Masse e Forze'!F5</f>
        <v>411.77370030581039</v>
      </c>
      <c r="K7" s="30">
        <f t="shared" si="0"/>
        <v>620.91690105854082</v>
      </c>
      <c r="L7" s="30">
        <f t="shared" si="1"/>
        <v>2.1211319001256879</v>
      </c>
      <c r="M7" s="30">
        <f>M8+L7</f>
        <v>10.304042528264777</v>
      </c>
      <c r="N7" s="39">
        <f t="shared" si="2"/>
        <v>3658.2392696779179</v>
      </c>
      <c r="O7" s="30">
        <f t="shared" si="3"/>
        <v>43.719369495200418</v>
      </c>
    </row>
    <row r="8" spans="2:15">
      <c r="B8" s="95">
        <v>3</v>
      </c>
      <c r="C8" s="30">
        <f>Rig_tip_pilastro!G40</f>
        <v>620.91690105854082</v>
      </c>
      <c r="D8" s="30">
        <f>Rig_tip_pilastro!G93</f>
        <v>439.3919801359371</v>
      </c>
      <c r="G8" s="95">
        <v>3</v>
      </c>
      <c r="H8" s="30">
        <f>'Masse e Forze'!F17</f>
        <v>269.60888337381107</v>
      </c>
      <c r="I8" s="30">
        <f>'Masse e Forze'!G17</f>
        <v>1586.6555295362675</v>
      </c>
      <c r="J8" s="243">
        <f>'Masse e Forze'!F6</f>
        <v>411.77370030581039</v>
      </c>
      <c r="K8" s="30">
        <f t="shared" si="0"/>
        <v>620.91690105854082</v>
      </c>
      <c r="L8" s="30">
        <f t="shared" si="1"/>
        <v>2.5553427951974457</v>
      </c>
      <c r="M8" s="30">
        <f>M9+L8</f>
        <v>8.1829106281390889</v>
      </c>
      <c r="N8" s="39">
        <f t="shared" si="2"/>
        <v>2206.1853972002705</v>
      </c>
      <c r="O8" s="30">
        <f t="shared" si="3"/>
        <v>27.572377821936499</v>
      </c>
    </row>
    <row r="9" spans="2:15">
      <c r="B9" s="95">
        <v>2</v>
      </c>
      <c r="C9" s="30">
        <f>Rig_tip_pilastro!G40</f>
        <v>620.91690105854082</v>
      </c>
      <c r="D9" s="56">
        <f>Rig_tip_pilastro!G93</f>
        <v>439.3919801359371</v>
      </c>
      <c r="G9" s="95">
        <v>2</v>
      </c>
      <c r="H9" s="30">
        <f>'Masse e Forze'!F18</f>
        <v>184.18824705735608</v>
      </c>
      <c r="I9" s="30">
        <f>'Masse e Forze'!G18</f>
        <v>1770.8437765936237</v>
      </c>
      <c r="J9" s="243">
        <f>'Masse e Forze'!F7</f>
        <v>411.77370030581039</v>
      </c>
      <c r="K9" s="30">
        <f t="shared" si="0"/>
        <v>620.91690105854082</v>
      </c>
      <c r="L9" s="30">
        <f t="shared" si="1"/>
        <v>2.8519819215335973</v>
      </c>
      <c r="M9" s="30">
        <f>M10+L9</f>
        <v>5.6275678329416436</v>
      </c>
      <c r="N9" s="39">
        <f t="shared" si="2"/>
        <v>1036.5318543458854</v>
      </c>
      <c r="O9" s="30">
        <f t="shared" si="3"/>
        <v>13.040675319689624</v>
      </c>
    </row>
    <row r="10" spans="2:15">
      <c r="B10" s="95">
        <v>1</v>
      </c>
      <c r="C10" s="55">
        <f>Rig_tip_pilastro!G59</f>
        <v>668.03658396553453</v>
      </c>
      <c r="D10" s="220">
        <f>Rig_tip_pilastro!G109</f>
        <v>603.25297291915933</v>
      </c>
      <c r="G10" s="95">
        <v>1</v>
      </c>
      <c r="H10" s="55">
        <f>'Masse e Forze'!F19</f>
        <v>83.34915416627247</v>
      </c>
      <c r="I10" s="30">
        <f>'Masse e Forze'!G19</f>
        <v>1854.1929307598962</v>
      </c>
      <c r="J10" s="243">
        <f>'Masse e Forze'!F8</f>
        <v>347.4923547400611</v>
      </c>
      <c r="K10" s="30">
        <f t="shared" si="0"/>
        <v>668.03658396553453</v>
      </c>
      <c r="L10" s="30">
        <f t="shared" si="1"/>
        <v>2.7755859114080463</v>
      </c>
      <c r="M10" s="30">
        <f>L10</f>
        <v>2.7755859114080463</v>
      </c>
      <c r="N10" s="39">
        <f t="shared" si="2"/>
        <v>231.34273803168313</v>
      </c>
      <c r="O10" s="30">
        <f t="shared" si="3"/>
        <v>2.6770384120400137</v>
      </c>
    </row>
    <row r="11" spans="2:15">
      <c r="G11" s="234" t="s">
        <v>7</v>
      </c>
      <c r="H11" s="235">
        <f>SUM(H5:H10)</f>
        <v>1854.1929307598962</v>
      </c>
      <c r="I11" s="231"/>
      <c r="J11" s="229"/>
      <c r="K11" s="229"/>
      <c r="L11" s="229"/>
      <c r="M11" s="232"/>
      <c r="N11" s="236">
        <f>SUM(N5:N10)</f>
        <v>19421.698126675088</v>
      </c>
      <c r="O11" s="237">
        <f>SUM(O5:O10)</f>
        <v>220.04939952494166</v>
      </c>
    </row>
    <row r="13" spans="2:15" ht="15.75" thickBot="1">
      <c r="B13" s="49"/>
      <c r="C13" s="49"/>
      <c r="D13" s="49"/>
    </row>
    <row r="14" spans="2:15" ht="15.75" thickBot="1">
      <c r="B14" s="12"/>
      <c r="C14" s="11"/>
      <c r="D14" s="11"/>
      <c r="G14" s="105" t="s">
        <v>171</v>
      </c>
      <c r="H14" s="106"/>
      <c r="I14" s="107">
        <f>2*PI()*SQRT(O11/N11)</f>
        <v>0.66880015098318857</v>
      </c>
      <c r="J14" t="s">
        <v>172</v>
      </c>
    </row>
    <row r="15" spans="2:15">
      <c r="B15" s="11"/>
      <c r="C15" s="53"/>
      <c r="D15" s="53"/>
    </row>
    <row r="16" spans="2:15">
      <c r="B16" s="11"/>
      <c r="C16" s="53"/>
      <c r="D16" s="53"/>
    </row>
    <row r="17" spans="2:15">
      <c r="B17" s="11"/>
      <c r="C17" s="53"/>
      <c r="D17" s="53"/>
    </row>
    <row r="18" spans="2:15">
      <c r="B18" s="11"/>
      <c r="C18" s="53"/>
      <c r="D18" s="53"/>
      <c r="G18" s="323" t="s">
        <v>162</v>
      </c>
      <c r="H18" s="324"/>
      <c r="I18" s="324"/>
      <c r="J18" s="324"/>
      <c r="K18" s="324"/>
      <c r="L18" s="324"/>
      <c r="M18" s="324"/>
      <c r="N18" s="324"/>
      <c r="O18" s="325"/>
    </row>
    <row r="19" spans="2:15" ht="17.25">
      <c r="B19" s="11"/>
      <c r="C19" s="53"/>
      <c r="D19" s="53"/>
      <c r="G19" s="96" t="s">
        <v>75</v>
      </c>
      <c r="H19" s="96" t="s">
        <v>163</v>
      </c>
      <c r="I19" s="244" t="s">
        <v>164</v>
      </c>
      <c r="J19" s="96" t="s">
        <v>169</v>
      </c>
      <c r="K19" s="96" t="s">
        <v>152</v>
      </c>
      <c r="L19" s="96" t="s">
        <v>159</v>
      </c>
      <c r="M19" s="96" t="s">
        <v>161</v>
      </c>
      <c r="N19" s="96" t="s">
        <v>165</v>
      </c>
      <c r="O19" s="96" t="s">
        <v>167</v>
      </c>
    </row>
    <row r="20" spans="2:15" ht="17.25">
      <c r="B20" s="11"/>
      <c r="C20" s="53"/>
      <c r="D20" s="53"/>
      <c r="G20" s="99"/>
      <c r="H20" s="100" t="s">
        <v>158</v>
      </c>
      <c r="I20" s="242" t="s">
        <v>158</v>
      </c>
      <c r="J20" s="100" t="s">
        <v>170</v>
      </c>
      <c r="K20" s="100" t="s">
        <v>154</v>
      </c>
      <c r="L20" s="100" t="s">
        <v>160</v>
      </c>
      <c r="M20" s="103" t="s">
        <v>160</v>
      </c>
      <c r="N20" s="103" t="s">
        <v>166</v>
      </c>
      <c r="O20" s="103" t="s">
        <v>168</v>
      </c>
    </row>
    <row r="21" spans="2:15">
      <c r="G21" s="98" t="s">
        <v>153</v>
      </c>
      <c r="H21" s="7">
        <f>'Masse e Forze'!F14</f>
        <v>521.56697046546958</v>
      </c>
      <c r="I21" s="7">
        <f>'Masse e Forze'!G14</f>
        <v>521.56697046546958</v>
      </c>
      <c r="J21" s="243">
        <f>'Masse e Forze'!F3</f>
        <v>408.40366972477057</v>
      </c>
      <c r="K21" s="7">
        <f t="shared" ref="K21:K26" si="4">D5</f>
        <v>327.74095863689706</v>
      </c>
      <c r="L21" s="243">
        <f t="shared" ref="L21:L26" si="5">I21/K21</f>
        <v>1.5914000271272521</v>
      </c>
      <c r="M21" s="7">
        <f>M22+L21</f>
        <v>17.952705189383664</v>
      </c>
      <c r="N21" s="39">
        <f t="shared" ref="N21:N26" si="6">H21*M21</f>
        <v>9363.5380572865524</v>
      </c>
      <c r="O21" s="32">
        <f t="shared" ref="O21:O26" si="7">J21*M21^2/1000</f>
        <v>131.62834903606372</v>
      </c>
    </row>
    <row r="22" spans="2:15">
      <c r="G22" s="95">
        <v>5</v>
      </c>
      <c r="H22" s="30">
        <f>'Masse e Forze'!F15</f>
        <v>440.45015600672093</v>
      </c>
      <c r="I22" s="30">
        <f>'Masse e Forze'!G15</f>
        <v>962.01712647219051</v>
      </c>
      <c r="J22" s="243">
        <f>'Masse e Forze'!F4</f>
        <v>411.77370030581039</v>
      </c>
      <c r="K22" s="30">
        <f t="shared" si="4"/>
        <v>363.1653128092168</v>
      </c>
      <c r="L22" s="243">
        <f t="shared" si="5"/>
        <v>2.6489785575352323</v>
      </c>
      <c r="M22" s="30">
        <f>M23+L22</f>
        <v>16.361305162256411</v>
      </c>
      <c r="N22" s="39">
        <f t="shared" si="6"/>
        <v>7206.3394111894049</v>
      </c>
      <c r="O22" s="32">
        <f t="shared" si="7"/>
        <v>110.22865163721772</v>
      </c>
    </row>
    <row r="23" spans="2:15">
      <c r="G23" s="95">
        <v>4</v>
      </c>
      <c r="H23" s="30">
        <f>'Masse e Forze'!F16</f>
        <v>355.029519690266</v>
      </c>
      <c r="I23" s="30">
        <f>'Masse e Forze'!G16</f>
        <v>1317.0466461624565</v>
      </c>
      <c r="J23" s="243">
        <f>'Masse e Forze'!F5</f>
        <v>411.77370030581039</v>
      </c>
      <c r="K23" s="30">
        <f t="shared" si="4"/>
        <v>439.3919801359371</v>
      </c>
      <c r="L23" s="243">
        <f t="shared" si="5"/>
        <v>2.9974298706020863</v>
      </c>
      <c r="M23" s="30">
        <f>M24+L23</f>
        <v>13.712326604721177</v>
      </c>
      <c r="N23" s="39">
        <f t="shared" si="6"/>
        <v>4868.2807283102156</v>
      </c>
      <c r="O23" s="32">
        <f t="shared" si="7"/>
        <v>77.424944520316132</v>
      </c>
    </row>
    <row r="24" spans="2:15">
      <c r="G24" s="95">
        <v>3</v>
      </c>
      <c r="H24" s="30">
        <f>'Masse e Forze'!F17</f>
        <v>269.60888337381107</v>
      </c>
      <c r="I24" s="30">
        <f>'Masse e Forze'!G17</f>
        <v>1586.6555295362675</v>
      </c>
      <c r="J24" s="243">
        <f>'Masse e Forze'!F6</f>
        <v>411.77370030581039</v>
      </c>
      <c r="K24" s="30">
        <f t="shared" si="4"/>
        <v>439.3919801359371</v>
      </c>
      <c r="L24" s="243">
        <f t="shared" si="5"/>
        <v>3.6110252377510288</v>
      </c>
      <c r="M24" s="30">
        <f>M25+L24</f>
        <v>10.71489673411909</v>
      </c>
      <c r="N24" s="39">
        <f t="shared" si="6"/>
        <v>2888.8313439515427</v>
      </c>
      <c r="O24" s="32">
        <f t="shared" si="7"/>
        <v>47.275331709097429</v>
      </c>
    </row>
    <row r="25" spans="2:15">
      <c r="G25" s="95">
        <v>2</v>
      </c>
      <c r="H25" s="30">
        <f>'Masse e Forze'!F18</f>
        <v>184.18824705735608</v>
      </c>
      <c r="I25" s="30">
        <f>'Masse e Forze'!G18</f>
        <v>1770.8437765936237</v>
      </c>
      <c r="J25" s="243">
        <f>'Masse e Forze'!F7</f>
        <v>411.77370030581039</v>
      </c>
      <c r="K25" s="30">
        <f t="shared" si="4"/>
        <v>439.3919801359371</v>
      </c>
      <c r="L25" s="243">
        <f t="shared" si="5"/>
        <v>4.0302141519418901</v>
      </c>
      <c r="M25" s="30">
        <f>M26+L25</f>
        <v>7.1038714963680611</v>
      </c>
      <c r="N25" s="39">
        <f t="shared" si="6"/>
        <v>1308.4496382367502</v>
      </c>
      <c r="O25" s="32">
        <f t="shared" si="7"/>
        <v>20.780155765749271</v>
      </c>
    </row>
    <row r="26" spans="2:15">
      <c r="G26" s="97">
        <v>1</v>
      </c>
      <c r="H26" s="55">
        <f>'Masse e Forze'!F19</f>
        <v>83.34915416627247</v>
      </c>
      <c r="I26" s="30">
        <f>'Masse e Forze'!G19</f>
        <v>1854.1929307598962</v>
      </c>
      <c r="J26" s="243">
        <f>'Masse e Forze'!F8</f>
        <v>347.4923547400611</v>
      </c>
      <c r="K26" s="30">
        <f t="shared" si="4"/>
        <v>603.25297291915933</v>
      </c>
      <c r="L26" s="243">
        <f t="shared" si="5"/>
        <v>3.073657344426171</v>
      </c>
      <c r="M26" s="30">
        <f>L26</f>
        <v>3.073657344426171</v>
      </c>
      <c r="N26" s="39">
        <f t="shared" si="6"/>
        <v>256.18673985487254</v>
      </c>
      <c r="O26" s="32">
        <f t="shared" si="7"/>
        <v>3.282888663558023</v>
      </c>
    </row>
    <row r="27" spans="2:15">
      <c r="G27" s="234" t="s">
        <v>7</v>
      </c>
      <c r="H27" s="238">
        <f>SUM(H21:H26)</f>
        <v>1854.1929307598962</v>
      </c>
      <c r="I27" s="231"/>
      <c r="J27" s="229"/>
      <c r="K27" s="229"/>
      <c r="L27" s="229"/>
      <c r="M27" s="232"/>
      <c r="N27" s="236">
        <f>SUM(N21:N26)</f>
        <v>25891.625918829337</v>
      </c>
      <c r="O27" s="239">
        <f>SUM(O21:O26)</f>
        <v>390.62032133200233</v>
      </c>
    </row>
    <row r="29" spans="2:15" ht="15.75" thickBot="1"/>
    <row r="30" spans="2:15" ht="15.75" thickBot="1">
      <c r="G30" s="105" t="s">
        <v>171</v>
      </c>
      <c r="H30" s="106"/>
      <c r="I30" s="107">
        <f>2*PI()*SQRT(O27/N27)</f>
        <v>0.77175175003668794</v>
      </c>
      <c r="J30" t="s">
        <v>172</v>
      </c>
    </row>
  </sheetData>
  <mergeCells count="2">
    <mergeCell ref="G18:O18"/>
    <mergeCell ref="G2:O2"/>
  </mergeCells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Carichi Unitari</vt:lpstr>
      <vt:lpstr>Masse e Forze</vt:lpstr>
      <vt:lpstr>C. Sollecitazione</vt:lpstr>
      <vt:lpstr>Dimensionamento t+6</vt:lpstr>
      <vt:lpstr>Rig_tip_pilastro</vt:lpstr>
      <vt:lpstr>Periodo proprio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Mariagrazia</dc:creator>
  <cp:lastModifiedBy>Mariagrazia</cp:lastModifiedBy>
  <dcterms:created xsi:type="dcterms:W3CDTF">2016-11-10T13:44:55Z</dcterms:created>
  <dcterms:modified xsi:type="dcterms:W3CDTF">2017-02-27T19:50:03Z</dcterms:modified>
</cp:coreProperties>
</file>